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tables/table2.xml" ContentType="application/vnd.openxmlformats-officedocument.spreadsheetml.table+xml"/>
  <Override PartName="/xl/drawings/drawing3.xml" ContentType="application/vnd.openxmlformats-officedocument.drawing+xml"/>
  <Override PartName="/xl/tables/table3.xml" ContentType="application/vnd.openxmlformats-officedocument.spreadsheetml.table+xml"/>
  <Override PartName="/xl/drawings/drawing4.xml" ContentType="application/vnd.openxmlformats-officedocument.drawing+xml"/>
  <Override PartName="/xl/tables/table4.xml" ContentType="application/vnd.openxmlformats-officedocument.spreadsheetml.table+xml"/>
  <Override PartName="/xl/drawings/drawing5.xml" ContentType="application/vnd.openxmlformats-officedocument.drawing+xml"/>
  <Override PartName="/xl/tables/table5.xml" ContentType="application/vnd.openxmlformats-officedocument.spreadsheetml.table+xml"/>
  <Override PartName="/xl/drawings/drawing6.xml" ContentType="application/vnd.openxmlformats-officedocument.drawing+xml"/>
  <Override PartName="/xl/tables/table6.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129"/>
  <workbookPr/>
  <mc:AlternateContent xmlns:mc="http://schemas.openxmlformats.org/markup-compatibility/2006">
    <mc:Choice Requires="x15">
      <x15ac:absPath xmlns:x15ac="http://schemas.microsoft.com/office/spreadsheetml/2010/11/ac" url="\\192.168.1.201\doa\ADMINISTRACYJNY\Kajetan\zapytania ofertowe 2024\15. szacowanie mebli\"/>
    </mc:Choice>
  </mc:AlternateContent>
  <xr:revisionPtr revIDLastSave="0" documentId="13_ncr:1_{5BF3E8B6-0E1F-4741-95E0-1190D1ABDD6C}" xr6:coauthVersionLast="47" xr6:coauthVersionMax="47" xr10:uidLastSave="{00000000-0000-0000-0000-000000000000}"/>
  <bookViews>
    <workbookView xWindow="-120" yWindow="-120" windowWidth="51840" windowHeight="21240" activeTab="5" xr2:uid="{00000000-000D-0000-FFFF-FFFF00000000}"/>
  </bookViews>
  <sheets>
    <sheet name="zadanie nr 1 szafy" sheetId="2" r:id="rId1"/>
    <sheet name="zadanie nr 2 krzesła" sheetId="3" r:id="rId2"/>
    <sheet name="zadanie nr 3 stoły" sheetId="4" r:id="rId3"/>
    <sheet name="zadanie nr 4 loft" sheetId="6" r:id="rId4"/>
    <sheet name="zadanie nr 5 szafy metalowe" sheetId="7" r:id="rId5"/>
    <sheet name="zadanie nr 6 wieszak regał" sheetId="8" r:id="rId6"/>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K2" i="7" l="1"/>
  <c r="J2" i="7"/>
  <c r="L2" i="7" s="1"/>
  <c r="H3" i="7"/>
  <c r="K3" i="7" s="1"/>
  <c r="O3" i="7" s="1"/>
  <c r="M2" i="7"/>
  <c r="J4" i="3"/>
  <c r="K4" i="3"/>
  <c r="L4" i="3"/>
  <c r="M4" i="3" s="1"/>
  <c r="O4" i="3"/>
  <c r="M3" i="8"/>
  <c r="H3" i="8"/>
  <c r="N3" i="8" s="1"/>
  <c r="O3" i="8" s="1"/>
  <c r="O2" i="8"/>
  <c r="H2" i="8"/>
  <c r="J2" i="8" s="1"/>
  <c r="O3" i="6"/>
  <c r="H3" i="6"/>
  <c r="H2" i="6"/>
  <c r="J2" i="6" s="1"/>
  <c r="L2" i="6" s="1"/>
  <c r="M2" i="6" s="1"/>
  <c r="O3" i="4"/>
  <c r="H3" i="4"/>
  <c r="J3" i="4" s="1"/>
  <c r="M2" i="4"/>
  <c r="H2" i="4"/>
  <c r="J2" i="4" s="1"/>
  <c r="O5" i="3"/>
  <c r="H5" i="3"/>
  <c r="L5" i="3" s="1"/>
  <c r="M5" i="3" s="1"/>
  <c r="O3" i="3"/>
  <c r="H3" i="3"/>
  <c r="J3" i="3" s="1"/>
  <c r="O2" i="3"/>
  <c r="H2" i="3"/>
  <c r="L2" i="3" s="1"/>
  <c r="M2" i="3" s="1"/>
  <c r="O4" i="2"/>
  <c r="H4" i="2"/>
  <c r="L4" i="2" s="1"/>
  <c r="M4" i="2" s="1"/>
  <c r="O3" i="2"/>
  <c r="H3" i="2"/>
  <c r="L3" i="2" s="1"/>
  <c r="M3" i="2" s="1"/>
  <c r="O2" i="2"/>
  <c r="H2" i="2"/>
  <c r="L2" i="2" s="1"/>
  <c r="J3" i="7" l="1"/>
  <c r="N3" i="7"/>
  <c r="J4" i="7"/>
  <c r="O2" i="6"/>
  <c r="K2" i="6"/>
  <c r="N4" i="6"/>
  <c r="O4" i="6"/>
  <c r="K2" i="2"/>
  <c r="N2" i="4"/>
  <c r="O2" i="4" s="1"/>
  <c r="O4" i="4" s="1"/>
  <c r="L3" i="4"/>
  <c r="M3" i="4" s="1"/>
  <c r="K2" i="4"/>
  <c r="J4" i="4"/>
  <c r="K3" i="4"/>
  <c r="K4" i="4"/>
  <c r="L3" i="3"/>
  <c r="M3" i="3" s="1"/>
  <c r="K2" i="3"/>
  <c r="K6" i="3" s="1"/>
  <c r="K3" i="3"/>
  <c r="K5" i="3"/>
  <c r="K3" i="2"/>
  <c r="O4" i="8"/>
  <c r="N4" i="8"/>
  <c r="J3" i="8"/>
  <c r="K2" i="8"/>
  <c r="K3" i="8"/>
  <c r="L2" i="8"/>
  <c r="M2" i="8" s="1"/>
  <c r="N4" i="7"/>
  <c r="O4" i="7"/>
  <c r="L4" i="7"/>
  <c r="M4" i="7"/>
  <c r="K4" i="7"/>
  <c r="J3" i="6"/>
  <c r="K3" i="6"/>
  <c r="K4" i="6" s="1"/>
  <c r="M4" i="4"/>
  <c r="M6" i="3"/>
  <c r="N6" i="3"/>
  <c r="O6" i="3"/>
  <c r="J2" i="3"/>
  <c r="J5" i="3"/>
  <c r="M2" i="2"/>
  <c r="M5" i="2" s="1"/>
  <c r="L5" i="2"/>
  <c r="O5" i="2"/>
  <c r="N5" i="2"/>
  <c r="J4" i="2"/>
  <c r="K5" i="2"/>
  <c r="K4" i="2"/>
  <c r="J2" i="2"/>
  <c r="J3" i="2"/>
  <c r="J4" i="6" l="1"/>
  <c r="L3" i="6"/>
  <c r="L4" i="4"/>
  <c r="J6" i="3"/>
  <c r="L6" i="3"/>
  <c r="N4" i="4"/>
  <c r="L4" i="8"/>
  <c r="M4" i="8"/>
  <c r="K4" i="8"/>
  <c r="J4" i="8"/>
  <c r="J5" i="2"/>
  <c r="M3" i="6" l="1"/>
  <c r="M4" i="6" s="1"/>
  <c r="L4" i="6"/>
</calcChain>
</file>

<file path=xl/sharedStrings.xml><?xml version="1.0" encoding="utf-8"?>
<sst xmlns="http://schemas.openxmlformats.org/spreadsheetml/2006/main" count="135" uniqueCount="58">
  <si>
    <t>Nazwa</t>
  </si>
  <si>
    <t>L.p.</t>
  </si>
  <si>
    <t>opis przedmiotu</t>
  </si>
  <si>
    <t>Zdjęcie poglądowe</t>
  </si>
  <si>
    <t>Szafy ubraniowe 60cm</t>
  </si>
  <si>
    <t xml:space="preserve">Okrągły rozkładany stół </t>
  </si>
  <si>
    <t>Szafka ma służyć do trzymania naczyń pracowników, a także może służyć jako podstawa pod urządzenia biurowe. Szafka powinna być:  wykonana z wysokiej jakości płyty wiórowej laminowanej, w klasie higieny E1, wykonana w technologii zapewniającej długoletnią trwałość w warunkach intensywnej eksploatacji  w obiektach użyteczności publicznej, kolor biały: fronty, korpus. Szafka powinna posiadać: podwójne skrzydła drzwiowe, aluminiowe uchwyty kolor czarny, minimum 1 półkę z możliwością regulacji wysokości, gwarancję producenta co najmniej 24 miesiące. Wymiary: wysokość (cm) 80, szerokość (cm) 80, głębokość (cm) 40</t>
  </si>
  <si>
    <t>Szafa na dokumenty 80cm zamykana na klucz</t>
  </si>
  <si>
    <t>Krzesła</t>
  </si>
  <si>
    <t>Wieszak stojacy</t>
  </si>
  <si>
    <t xml:space="preserve">Dwudrzwiowa niska szafka 80cm </t>
  </si>
  <si>
    <t>Stół</t>
  </si>
  <si>
    <t>Wieszak wolnostojacy drewniany lub metalowy (czarny) na odzież i parasole.</t>
  </si>
  <si>
    <t>ilość DOA</t>
  </si>
  <si>
    <t>ilość WOA</t>
  </si>
  <si>
    <t>łączna ilość</t>
  </si>
  <si>
    <t>szacunkowa cena jednostkowa netto</t>
  </si>
  <si>
    <t xml:space="preserve">szacunkowa wartość netto </t>
  </si>
  <si>
    <t>bużet DOA netto</t>
  </si>
  <si>
    <t>budżet DOA brutto</t>
  </si>
  <si>
    <t xml:space="preserve">budżet WOA netto </t>
  </si>
  <si>
    <t>Budżet WOA brutto</t>
  </si>
  <si>
    <t>Regał/szafka 
1.	regał częściowo otwarty – z półkami, częściowo zamknięty – szafki/szuflady
2.	kolor – połączenie odcieni dębu złotego lub jasnego z czarnym lub białym
3.	materiał – laminat
4.	wymiary: wysokość – od 160 do 180  cm, szerokość –  90 – 110 cm, głębokość – 40 – 50 cm
5.	styl loftowy/industrialny lub skandynawski
Regały mają być wyposażeniem kilku gabinetów terapeutycznych – wskazana jest różnorodność modeli i kolorów
Gwarancja producenta:
6.	co najmniej 24 miesiące</t>
  </si>
  <si>
    <t xml:space="preserve">Regał/szafka </t>
  </si>
  <si>
    <t>Stół prostokątny. Blat jasnoszary o wym. 140x60, grubość blatu 1,8cm, narożniki blatu zaokrąglone. Wysokość z blatem 75,5cm. Nogi czarne, kwadratowe 2,5cmx2,5cm, metalowe</t>
  </si>
  <si>
    <t>Krzesło biurowe</t>
  </si>
  <si>
    <t>Krzesło biurowe ma stanowić wyposażenie biura mają służyć do pracy biurowej przy biurku.  Krzesło biurowe powinno  posiadać: pięcioramienną podstawę szarą lub czarną  wraz z pięcioma kółkami kauczukowymi, szarymi lub czarnymi, podłokietniki regulowane wykonane z trwałego materiału. Regulacje wysokości siedziska, regulacja oparcia, stelaż metalowy,  obciążenie: min. 100kg, wymiary: wysokość: min. 125 cm, max. 145 cm, szerokość siedziska: min. 48 cm, max. 56 cm, głębokość siedziska : min. 45 cm, max. 55 cm, gwarancję producenta: co najmniej 24 miesiące. Krzesło biurowe powinno być: wykonane  z wysokiej jakości materiałów (tkanina, siatka dystansowa), wykonany w technologii zapewniającej długoletnią trwałość w warunkach intensywnej eksploatacji w obiektach użyteczności publicznej. Kolorystyka: siedzisko - kolor jasnoszary lub czarny, widoczne elementy szare lub czarne, jednolita kolorystyka dla wszystkich sztuk.</t>
  </si>
  <si>
    <t>Regał łazienkowy / słupek. Sszafka łazienkowa wykonana z płyty MDF w połysku, kolor biały. Musi zapewniać trwałość i estetyczny wygląd. Wnętrze szafki z regulowanymi półkami, Dodatkowo, otwarta półka pomiędzy drzwiczkami wysokości od 20 cm do 30 cm. 
Wymiary: 30x30 x170 cm (szer. x gł. x wys.)</t>
  </si>
  <si>
    <t>szacunkowa wartość brutto</t>
  </si>
  <si>
    <t>Krzesła konferencyjne</t>
  </si>
  <si>
    <t>stół konferencyjny rozkładany</t>
  </si>
  <si>
    <t xml:space="preserve">Krzesła konferencyjne 
- rama stalowa, malowana proszkowo na kolor czarny
- Tapicerka w kolorze czarnym z tkaniny łatwej w utrzymaniu czystości i wytrzymałej 
- siedzisko i oparcie wypełnione specjalnie formowaną pianką poliuretanową
- możliwość sztaplowania do 12szt
Wymiary:
Wysokość 	od 78 cm do 80 cm
Szerokość 	od 54 cm do 56 cm
Wysokość do siedziska 	48 cm
Szerokość siedziska 	od 46 cm do 48 cm
Głębokość siedziska 	od 41 cm do 43 cm
Gwarancja 	2 lata
</t>
  </si>
  <si>
    <t>Stół okrągły ma służyć do prowadzenia spotkań i pracy z zewnętrznymi gośćmi.  Stół powinien być wykonany z wysokiej jakości płyty wiórowej laminowanej płyty w klasie higieny E1, zabezpieczony trwałą krawędzią, wykonany w technologii zapewniającej długoletnią trwałość w warunkach intensywnej eksploatacji  w obiektach użyteczności publicznej, rozkładany. Blat stołu drewnopodobny złoty Dąb  gr. 2,5-3,6cm, średnica 100cm Stół powinien posiadać możliwość rozsunięcia do 140 cm. Wysokość: min. 70, max. 80 cm. Gwarancja producenta co najmniej 24 miesiące.</t>
  </si>
  <si>
    <t>Szafa ma służyć do przechowywania dokumentów, w tym dokumentów zawierających dane osobowe. Szafa powinna być: wykonana z wysokiej jakości płyty wiórowej o grubości min. 18 mm laminowanej w klasie higieny E1, wykonana w technologii zapewniającej długoletnią trwałość w warunkach intensywnej eksploatacji w obiektach użyteczności publicznej. Kolorystyka:  korpus i fronty – kolor biały, uchwyty metalowe kolor czarny. Szafa powinna posiadać: dwoje drzwi skrzydłowych uchylnych, co najmniej cztery przestawne półki umożliwiające swobodne wstawianie segregatorów, (odległość między półkami min. 33 cm), zamek zabezpieczający blokujący drzwi w dwóch punktach + dwa klucze, wymiary: szerokość: 80 cm, wysokość: 180 cm, głębokość: 40 cm, gwarancję producenta: co najmniej 24 miesiące.</t>
  </si>
  <si>
    <t>Szafa ubraniowa ma służyć do trzymania odzieży wierzchniej kadry. Szafa powinna być wykonana z wysokiej jakości płyty wiórowej laminowanej płyty w klasie higieny E1, wykonana w technologii zapewniającej długoletnią trwałość w warunkach intensywnej eksploatacji w obiektach użyteczności publicznej. Kolorystyka: korpus i fronty – kolor biały, uchwyty aluminium kolor czarny, jednolita kolorystyka dla wszystkich sztuk. Szafa powinna posiadać: jedne drzwi skrzydłowych uchylne, przegrodę, wieszak wysuwany, co najmniej jedna półka. Wymiary: szerokość: 60 cm, wysokość: 180 cm, głębokość: 40 cm, gwarancję producenta: co najmniej 24 miesiące.</t>
  </si>
  <si>
    <t>szafa z drzwiami przesuwanymi (rolety) wyposażona w półki,
możliwość regulacji wysokości półek,
drzwi zamykane na zamek z 2 kluczami, 
kolor – jasnoszary,
materiał – wysokiej jakości blacha stalowa, malowana proszkowo,
wymiary: wysokość –200 cm, szerokość –  100 cm, głębokość – 42 - 45 cm
Gwarancja producenta: co najmniej 24 miesiące</t>
  </si>
  <si>
    <t>DZIAŁ / adres dostawy</t>
  </si>
  <si>
    <t xml:space="preserve"> DPS / Poznań ul. Mielżyńskiego 14</t>
  </si>
  <si>
    <t>DPS / Poznań ul. Mielżyńskiego 14</t>
  </si>
  <si>
    <t>DPS  / Poznań ul. Mielżyńskiego 14</t>
  </si>
  <si>
    <t>DIS / Poznań ul. Mielżyńskiego 14</t>
  </si>
  <si>
    <t>DIS / OIS Poznań ul. Mielżyńskiego 14</t>
  </si>
  <si>
    <t>WOA Kalisz  /Kalisz ul. Nowy Świat 13</t>
  </si>
  <si>
    <t>DIS / OIS /Poznań ul. Mielżyńskiego 14</t>
  </si>
  <si>
    <t>WOA Kalisz / Kalisz ul. Nowy Świat 13</t>
  </si>
  <si>
    <t>WOA Poznań
ul. Mielżyńskiego 14
61-725 Poznań</t>
  </si>
  <si>
    <t>DOA / Poznań ul. Mielżyńskiego 14</t>
  </si>
  <si>
    <t>DOA /Poznań ul. Mielżyńskiego 14</t>
  </si>
  <si>
    <t>WOA Kalisz  Kalisz ul. Nowy Świat 13</t>
  </si>
  <si>
    <t>Regał łazienkowy / słupek</t>
  </si>
  <si>
    <t>Stół konferencyjny składany na stelażu stalowym. Możliwość sztaplowania do 15 sztuk. Stopki poziomujące do regulacji wysokości w zakresie do 20 mm
Wysokość 	74 -76 cm
Szerokość 	70 cm
Długość 	140 cm
Rama 	Składana
Materiał ramy 	Stal
Grubość blatu 	28 mm
Rodzaj blatu 	Płyta wiórowa laminowana dwustronnie w kolorze popiel</t>
  </si>
  <si>
    <t>Krzesła  na kółkach z podłokietnikami  i z czarną ramą 
Cechy:
Siedzisko - Tapicerowane
Kółka 50mm
Podłokietniki stalowe
Rama stalowa kolor CZARNY
KOLOR Tkaniny Tapicerskiej – limonka (jasno zielony), musztarda, turkus, czarny
Tkanina: welur lub podobna(łatwa do czyszczenia
Wymiary:
Wysokość: min. 790 mm
Szerokość: min 500 mm
Głębokość: 500 mm - 550 mm
Siedzisko:
Wysokość siedziska: min 400 mm
Głębokość siedziska: min. 400mm</t>
  </si>
  <si>
    <t>szafa metalowa</t>
  </si>
  <si>
    <t>krzesło składane</t>
  </si>
  <si>
    <t>DOA / Poznań ul. Nowowiejskiego 11</t>
  </si>
  <si>
    <t xml:space="preserve">    Krzesło składane konferencyjne, wykonane z drewna bukowego w kolorze czarnym 
Wysokość siedziska:440 mm - 480 mm
    Głębokość siedziska:320 mm - 350 mm
    Szerokość siedziska:360 mm - 380 mm
    Pełna wysokość:770 mm - 790 mm
    Kolor: Czarny
    Materiał:Drewno
    Nośność: minimu 100 kg
    Waga: 2,2 kg - 2,5 kg
Gwarancja 24 miesiące
 </t>
  </si>
  <si>
    <t>sejf / szafa metalowa na akta osobowe</t>
  </si>
  <si>
    <t>Sejf / szafa metalowa na akta osobowe z blach stalowej, z 4 szyfladami na zawieszane teczki formatu A4.
Teleskopowe prowadnice kulkowe z możliwością 100% wysunięcia szuflady. .
Na frontach szuflad rami z możliwością wsunięcia etykiety.  Blokada przed jednoczesnym wysunięciem kilku szuflad.
Zamek centralny, cylindryczny z minimum dwoma kluczami. Szafa malowana proszkowo w kolorze szarym.
Wewnętrzne rozmiary szuflady: 
wysokość min.  250 mm, szerokośc min.  324 mm, głębokość min. 520 mm
Wymiary zewnętrzne:
Wysokość: od 130 cm do 135 cm
Szerokość: od 40 cm do 42 cm
Głębokość: od 60 cm do 65 cm
Nośność szuflad minimum 30 kg 
Gwarancja minimum  2 lata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</si>
</sst>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4" formatCode="_-* #,##0.00\ &quot;zł&quot;_-;\-* #,##0.00\ &quot;zł&quot;_-;_-* &quot;-&quot;??\ &quot;zł&quot;_-;_-@_-"/>
  </numFmts>
  <fonts count="4" x14ac:knownFonts="1">
    <font>
      <sz val="11"/>
      <color theme="1"/>
      <name val="Calibri"/>
      <family val="2"/>
      <charset val="238"/>
      <scheme val="minor"/>
    </font>
    <font>
      <b/>
      <sz val="11"/>
      <color theme="1"/>
      <name val="Calibri"/>
      <family val="2"/>
      <charset val="238"/>
      <scheme val="minor"/>
    </font>
    <font>
      <sz val="11"/>
      <color theme="1"/>
      <name val="Calibri"/>
      <family val="2"/>
      <charset val="238"/>
    </font>
    <font>
      <sz val="11"/>
      <name val="Calibri"/>
      <family val="2"/>
      <charset val="238"/>
      <scheme val="minor"/>
    </font>
  </fonts>
  <fills count="5">
    <fill>
      <patternFill patternType="none"/>
    </fill>
    <fill>
      <patternFill patternType="gray125"/>
    </fill>
    <fill>
      <patternFill patternType="solid">
        <fgColor rgb="FF0070C0"/>
        <bgColor indexed="64"/>
      </patternFill>
    </fill>
    <fill>
      <patternFill patternType="solid">
        <fgColor theme="0"/>
        <bgColor indexed="64"/>
      </patternFill>
    </fill>
    <fill>
      <patternFill patternType="solid">
        <fgColor theme="0" tint="-0.14999847407452621"/>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right style="medium">
        <color indexed="64"/>
      </right>
      <top style="thin">
        <color indexed="64"/>
      </top>
      <bottom style="thin">
        <color indexed="64"/>
      </bottom>
      <diagonal/>
    </border>
  </borders>
  <cellStyleXfs count="1">
    <xf numFmtId="0" fontId="0" fillId="0" borderId="0"/>
  </cellStyleXfs>
  <cellXfs count="48">
    <xf numFmtId="0" fontId="0" fillId="0" borderId="0" xfId="0"/>
    <xf numFmtId="0" fontId="0" fillId="0" borderId="0" xfId="0" applyAlignment="1">
      <alignment wrapText="1"/>
    </xf>
    <xf numFmtId="0" fontId="0" fillId="0" borderId="0" xfId="0" applyAlignment="1">
      <alignment vertical="center" wrapText="1"/>
    </xf>
    <xf numFmtId="44" fontId="0" fillId="0" borderId="0" xfId="0" applyNumberFormat="1"/>
    <xf numFmtId="44" fontId="0" fillId="0" borderId="1" xfId="0" applyNumberFormat="1" applyBorder="1" applyAlignment="1">
      <alignment wrapText="1"/>
    </xf>
    <xf numFmtId="0" fontId="0" fillId="0" borderId="1" xfId="0" applyBorder="1" applyAlignment="1">
      <alignment wrapText="1"/>
    </xf>
    <xf numFmtId="0" fontId="1" fillId="0" borderId="1" xfId="0" applyFont="1" applyBorder="1" applyAlignment="1">
      <alignment vertical="center" wrapText="1"/>
    </xf>
    <xf numFmtId="44" fontId="1" fillId="0" borderId="0" xfId="0" applyNumberFormat="1" applyFont="1"/>
    <xf numFmtId="44" fontId="1" fillId="0" borderId="0" xfId="0" applyNumberFormat="1" applyFont="1" applyAlignment="1">
      <alignment wrapText="1"/>
    </xf>
    <xf numFmtId="44" fontId="0" fillId="0" borderId="0" xfId="0" applyNumberFormat="1" applyAlignment="1">
      <alignment wrapText="1"/>
    </xf>
    <xf numFmtId="44" fontId="1" fillId="2" borderId="2" xfId="0" applyNumberFormat="1" applyFont="1" applyFill="1" applyBorder="1" applyAlignment="1">
      <alignment wrapText="1"/>
    </xf>
    <xf numFmtId="44" fontId="1" fillId="2" borderId="3" xfId="0" applyNumberFormat="1" applyFont="1" applyFill="1" applyBorder="1" applyAlignment="1">
      <alignment wrapText="1"/>
    </xf>
    <xf numFmtId="44" fontId="0" fillId="2" borderId="7" xfId="0" applyNumberFormat="1" applyFill="1" applyBorder="1" applyAlignment="1">
      <alignment wrapText="1"/>
    </xf>
    <xf numFmtId="0" fontId="0" fillId="3" borderId="1" xfId="0" applyFill="1" applyBorder="1"/>
    <xf numFmtId="0" fontId="0" fillId="3" borderId="1" xfId="0" applyFill="1" applyBorder="1" applyAlignment="1">
      <alignment horizontal="center" vertical="center" wrapText="1"/>
    </xf>
    <xf numFmtId="0" fontId="1" fillId="3" borderId="1" xfId="0" applyFont="1" applyFill="1" applyBorder="1" applyAlignment="1">
      <alignment horizontal="left" vertical="center" wrapText="1"/>
    </xf>
    <xf numFmtId="0" fontId="2" fillId="3" borderId="1" xfId="0" applyFont="1" applyFill="1" applyBorder="1" applyAlignment="1">
      <alignment horizontal="left" vertical="center" wrapText="1"/>
    </xf>
    <xf numFmtId="44" fontId="0" fillId="3" borderId="8" xfId="0" applyNumberFormat="1" applyFill="1" applyBorder="1"/>
    <xf numFmtId="44" fontId="0" fillId="3" borderId="4" xfId="0" applyNumberFormat="1" applyFill="1" applyBorder="1"/>
    <xf numFmtId="0" fontId="0" fillId="3" borderId="0" xfId="0" applyFill="1"/>
    <xf numFmtId="0" fontId="2" fillId="3" borderId="1" xfId="0" applyFont="1" applyFill="1" applyBorder="1" applyAlignment="1">
      <alignment vertical="center" wrapText="1"/>
    </xf>
    <xf numFmtId="44" fontId="0" fillId="3" borderId="9" xfId="0" applyNumberFormat="1" applyFill="1" applyBorder="1"/>
    <xf numFmtId="0" fontId="0" fillId="3" borderId="1" xfId="0" applyFill="1" applyBorder="1" applyAlignment="1">
      <alignment wrapText="1"/>
    </xf>
    <xf numFmtId="0" fontId="0" fillId="3" borderId="1" xfId="0" applyFill="1" applyBorder="1" applyAlignment="1">
      <alignment vertical="top" wrapText="1"/>
    </xf>
    <xf numFmtId="0" fontId="0" fillId="3" borderId="1" xfId="0" applyFill="1" applyBorder="1" applyAlignment="1">
      <alignment horizontal="left" vertical="center" wrapText="1"/>
    </xf>
    <xf numFmtId="0" fontId="3" fillId="3" borderId="1" xfId="0" applyFont="1" applyFill="1" applyBorder="1" applyAlignment="1">
      <alignment horizontal="left" vertical="top" wrapText="1"/>
    </xf>
    <xf numFmtId="44" fontId="0" fillId="3" borderId="10" xfId="0" applyNumberFormat="1" applyFill="1" applyBorder="1"/>
    <xf numFmtId="44" fontId="0" fillId="3" borderId="1" xfId="0" applyNumberFormat="1" applyFill="1" applyBorder="1"/>
    <xf numFmtId="0" fontId="0" fillId="3" borderId="1" xfId="0" applyFill="1" applyBorder="1" applyAlignment="1">
      <alignment horizontal="left" vertical="top" wrapText="1"/>
    </xf>
    <xf numFmtId="44" fontId="0" fillId="3" borderId="11" xfId="0" applyNumberFormat="1" applyFill="1" applyBorder="1" applyAlignment="1">
      <alignment wrapText="1"/>
    </xf>
    <xf numFmtId="0" fontId="0" fillId="3" borderId="13" xfId="0" applyFill="1" applyBorder="1" applyAlignment="1">
      <alignment wrapText="1"/>
    </xf>
    <xf numFmtId="0" fontId="0" fillId="3" borderId="14" xfId="0" applyFill="1" applyBorder="1" applyAlignment="1">
      <alignment horizontal="center" vertical="center" wrapText="1"/>
    </xf>
    <xf numFmtId="0" fontId="0" fillId="3" borderId="14" xfId="0" applyFill="1" applyBorder="1" applyAlignment="1">
      <alignment horizontal="left" vertical="center" wrapText="1"/>
    </xf>
    <xf numFmtId="0" fontId="0" fillId="3" borderId="14" xfId="0" applyFill="1" applyBorder="1" applyAlignment="1">
      <alignment wrapText="1"/>
    </xf>
    <xf numFmtId="44" fontId="1" fillId="3" borderId="15" xfId="0" applyNumberFormat="1" applyFont="1" applyFill="1" applyBorder="1" applyAlignment="1">
      <alignment wrapText="1"/>
    </xf>
    <xf numFmtId="44" fontId="0" fillId="3" borderId="10" xfId="0" applyNumberFormat="1" applyFill="1" applyBorder="1" applyAlignment="1">
      <alignment wrapText="1"/>
    </xf>
    <xf numFmtId="44" fontId="1" fillId="3" borderId="16" xfId="0" applyNumberFormat="1" applyFont="1" applyFill="1" applyBorder="1" applyAlignment="1">
      <alignment wrapText="1"/>
    </xf>
    <xf numFmtId="44" fontId="0" fillId="3" borderId="14" xfId="0" applyNumberFormat="1" applyFill="1" applyBorder="1" applyAlignment="1">
      <alignment wrapText="1"/>
    </xf>
    <xf numFmtId="0" fontId="1" fillId="4" borderId="1" xfId="0" applyFont="1" applyFill="1" applyBorder="1"/>
    <xf numFmtId="44" fontId="1" fillId="4" borderId="5" xfId="0" applyNumberFormat="1" applyFont="1" applyFill="1" applyBorder="1"/>
    <xf numFmtId="44" fontId="1" fillId="4" borderId="2" xfId="0" applyNumberFormat="1" applyFont="1" applyFill="1" applyBorder="1"/>
    <xf numFmtId="44" fontId="1" fillId="4" borderId="6" xfId="0" applyNumberFormat="1" applyFont="1" applyFill="1" applyBorder="1"/>
    <xf numFmtId="44" fontId="1" fillId="4" borderId="12" xfId="0" applyNumberFormat="1" applyFont="1" applyFill="1" applyBorder="1"/>
    <xf numFmtId="44" fontId="1" fillId="4" borderId="2" xfId="0" applyNumberFormat="1" applyFont="1" applyFill="1" applyBorder="1" applyAlignment="1">
      <alignment wrapText="1"/>
    </xf>
    <xf numFmtId="0" fontId="0" fillId="3" borderId="3" xfId="0" applyFill="1" applyBorder="1"/>
    <xf numFmtId="44" fontId="1" fillId="4" borderId="17" xfId="0" applyNumberFormat="1" applyFont="1" applyFill="1" applyBorder="1"/>
    <xf numFmtId="44" fontId="0" fillId="3" borderId="17" xfId="0" applyNumberFormat="1" applyFill="1" applyBorder="1"/>
    <xf numFmtId="44" fontId="1" fillId="3" borderId="9" xfId="0" applyNumberFormat="1" applyFont="1" applyFill="1" applyBorder="1"/>
  </cellXfs>
  <cellStyles count="1">
    <cellStyle name="Normalny" xfId="0" builtinId="0"/>
  </cellStyles>
  <dxfs count="198">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thin">
          <color indexed="64"/>
        </right>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medium">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medium">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thin">
          <color indexed="64"/>
        </right>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medium">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medium">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thin">
          <color indexed="64"/>
        </right>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medium">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medium">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thin">
          <color indexed="64"/>
        </right>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medium">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medium">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thin">
          <color indexed="64"/>
        </right>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medium">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medium">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thin">
          <color indexed="64"/>
        </right>
        <top/>
        <bottom/>
      </border>
    </dxf>
    <dxf>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medium">
          <color indexed="64"/>
        </left>
        <right style="medium">
          <color indexed="64"/>
        </right>
        <top style="thin">
          <color indexed="64"/>
        </top>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medium">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ill>
        <patternFill patternType="solid">
          <fgColor indexed="64"/>
          <bgColor theme="0"/>
        </patternFill>
      </fill>
      <alignment horizontal="general" vertical="bottom" textRotation="0" wrapText="1" indent="0" justifyLastLine="0" shrinkToFit="0" readingOrder="0"/>
      <border diagonalUp="0" diagonalDown="0" outline="0">
        <left/>
        <right style="thin">
          <color indexed="64"/>
        </right>
        <top style="thin">
          <color indexed="64"/>
        </top>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left style="medium">
          <color indexed="64"/>
        </left>
        <right style="medium">
          <color indexed="64"/>
        </right>
        <top style="thin">
          <color indexed="64"/>
        </top>
        <bottom style="thin">
          <color indexed="64"/>
        </bottom>
        <vertical/>
        <horizontal/>
      </border>
    </dxf>
    <dxf>
      <font>
        <b val="0"/>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outline="0">
        <left/>
        <right style="medium">
          <color indexed="64"/>
        </right>
        <top style="thin">
          <color indexed="64"/>
        </top>
        <bottom style="thin">
          <color indexed="64"/>
        </bottom>
      </border>
    </dxf>
    <dxf>
      <font>
        <b/>
      </font>
      <numFmt numFmtId="34" formatCode="_-* #,##0.00\ &quot;zł&quot;_-;\-* #,##0.00\ &quot;zł&quot;_-;_-* &quot;-&quot;??\ &quot;zł&quot;_-;_-@_-"/>
      <fill>
        <patternFill patternType="solid">
          <fgColor indexed="64"/>
          <bgColor theme="0" tint="-0.14999847407452621"/>
        </patternFill>
      </fill>
      <border diagonalUp="0" diagonalDown="0" outline="0">
        <left/>
        <right style="medium">
          <color indexed="64"/>
        </right>
        <top style="thin">
          <color indexed="64"/>
        </top>
        <bottom style="thin">
          <color indexed="64"/>
        </bottom>
      </border>
    </dxf>
    <dxf>
      <font>
        <b/>
      </font>
      <numFmt numFmtId="0" formatCode="General"/>
      <fill>
        <patternFill patternType="solid">
          <fgColor indexed="64"/>
          <bgColor theme="0" tint="-0.14999847407452621"/>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0" formatCode="General"/>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font>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right style="thin">
          <color indexed="64"/>
        </right>
        <top style="thin">
          <color indexed="64"/>
        </top>
        <bottom style="thin">
          <color indexed="64"/>
        </bottom>
      </border>
    </dxf>
    <dxf>
      <border diagonalUp="0" diagonalDown="0">
        <left style="thin">
          <color rgb="FF000000"/>
        </left>
        <right style="thin">
          <color rgb="FF000000"/>
        </right>
        <top/>
        <bottom/>
        <vertical style="thin">
          <color rgb="FF000000"/>
        </vertical>
        <horizontal style="thin">
          <color rgb="FF000000"/>
        </horizontal>
      </border>
    </dxf>
    <dxf>
      <fill>
        <patternFill patternType="solid">
          <fgColor rgb="FF000000"/>
          <bgColor rgb="FFFFFFFF"/>
        </patternFill>
      </fill>
    </dxf>
    <dxf>
      <alignment textRotation="0" wrapText="1" indent="0" justifyLastLine="0" shrinkToFit="0" readingOrder="0"/>
      <border diagonalUp="0" diagonalDown="0" outline="0">
        <left style="thin">
          <color indexed="64"/>
        </left>
        <right style="thin">
          <color indexed="64"/>
        </right>
        <top/>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left style="medium">
          <color indexed="64"/>
        </left>
        <right style="medium">
          <color indexed="64"/>
        </right>
        <top style="thin">
          <color indexed="64"/>
        </top>
        <bottom style="thin">
          <color indexed="64"/>
        </bottom>
        <vertical/>
        <horizontal/>
      </border>
    </dxf>
    <dxf>
      <font>
        <b val="0"/>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left/>
        <right style="medium">
          <color indexed="64"/>
        </right>
        <top style="thin">
          <color indexed="64"/>
        </top>
        <bottom style="thin">
          <color indexed="64"/>
        </bottom>
      </border>
    </dxf>
    <dxf>
      <font>
        <b/>
      </font>
      <numFmt numFmtId="34" formatCode="_-* #,##0.00\ &quot;zł&quot;_-;\-* #,##0.00\ &quot;zł&quot;_-;_-* &quot;-&quot;??\ &quot;zł&quot;_-;_-@_-"/>
      <fill>
        <patternFill patternType="solid">
          <fgColor indexed="64"/>
          <bgColor theme="0" tint="-0.14999847407452621"/>
        </patternFill>
      </fill>
      <border diagonalUp="0" diagonalDown="0" outline="0">
        <left/>
        <right style="medium">
          <color indexed="64"/>
        </right>
        <top style="thin">
          <color indexed="64"/>
        </top>
        <bottom style="thin">
          <color indexed="64"/>
        </bottom>
      </border>
    </dxf>
    <dxf>
      <font>
        <b/>
      </font>
      <numFmt numFmtId="0" formatCode="General"/>
      <fill>
        <patternFill patternType="solid">
          <fgColor indexed="64"/>
          <bgColor theme="0" tint="-0.14999847407452621"/>
        </patternFill>
      </fill>
      <border diagonalUp="0" diagonalDown="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0" formatCode="General"/>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font>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right style="thin">
          <color indexed="64"/>
        </right>
        <top style="thin">
          <color indexed="64"/>
        </top>
        <bottom style="thin">
          <color indexed="64"/>
        </bottom>
      </border>
    </dxf>
    <dxf>
      <border diagonalUp="0" diagonalDown="0">
        <left style="thin">
          <color rgb="FF000000"/>
        </left>
        <right style="thin">
          <color rgb="FF000000"/>
        </right>
        <top/>
        <bottom/>
        <vertical style="thin">
          <color rgb="FF000000"/>
        </vertical>
        <horizontal style="thin">
          <color rgb="FF000000"/>
        </horizontal>
      </border>
    </dxf>
    <dxf>
      <fill>
        <patternFill patternType="solid">
          <fgColor rgb="FF000000"/>
          <bgColor rgb="FFFFFFFF"/>
        </patternFill>
      </fill>
    </dxf>
    <dxf>
      <alignment textRotation="0" wrapText="1" indent="0" justifyLastLine="0" shrinkToFit="0" readingOrder="0"/>
      <border diagonalUp="0" diagonalDown="0" outline="0">
        <left style="thin">
          <color indexed="64"/>
        </left>
        <right style="thin">
          <color indexed="64"/>
        </right>
        <top/>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left style="medium">
          <color indexed="64"/>
        </left>
        <right style="medium">
          <color indexed="64"/>
        </right>
        <top style="thin">
          <color indexed="64"/>
        </top>
        <bottom style="thin">
          <color indexed="64"/>
        </bottom>
        <vertical/>
        <horizontal/>
      </border>
    </dxf>
    <dxf>
      <font>
        <b val="0"/>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outline="0">
        <left/>
        <right style="medium">
          <color indexed="64"/>
        </right>
        <top style="thin">
          <color indexed="64"/>
        </top>
        <bottom style="thin">
          <color indexed="64"/>
        </bottom>
      </border>
    </dxf>
    <dxf>
      <font>
        <b/>
      </font>
      <numFmt numFmtId="34" formatCode="_-* #,##0.00\ &quot;zł&quot;_-;\-* #,##0.00\ &quot;zł&quot;_-;_-* &quot;-&quot;??\ &quot;zł&quot;_-;_-@_-"/>
      <fill>
        <patternFill patternType="solid">
          <fgColor indexed="64"/>
          <bgColor theme="0" tint="-0.14999847407452621"/>
        </patternFill>
      </fill>
      <border diagonalUp="0" diagonalDown="0" outline="0">
        <left/>
        <right style="medium">
          <color indexed="64"/>
        </right>
        <top style="thin">
          <color indexed="64"/>
        </top>
        <bottom style="thin">
          <color indexed="64"/>
        </bottom>
      </border>
    </dxf>
    <dxf>
      <font>
        <b/>
      </font>
      <numFmt numFmtId="0" formatCode="General"/>
      <fill>
        <patternFill patternType="solid">
          <fgColor indexed="64"/>
          <bgColor theme="0" tint="-0.14999847407452621"/>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0" formatCode="General"/>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font>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right style="thin">
          <color indexed="64"/>
        </right>
        <top style="thin">
          <color indexed="64"/>
        </top>
        <bottom style="thin">
          <color indexed="64"/>
        </bottom>
      </border>
    </dxf>
    <dxf>
      <border diagonalUp="0" diagonalDown="0">
        <left style="thin">
          <color rgb="FF000000"/>
        </left>
        <right style="thin">
          <color rgb="FF000000"/>
        </right>
        <top/>
        <bottom/>
        <vertical style="thin">
          <color rgb="FF000000"/>
        </vertical>
        <horizontal style="thin">
          <color rgb="FF000000"/>
        </horizontal>
      </border>
    </dxf>
    <dxf>
      <fill>
        <patternFill patternType="solid">
          <fgColor rgb="FF000000"/>
          <bgColor rgb="FFFFFFFF"/>
        </patternFill>
      </fill>
    </dxf>
    <dxf>
      <alignment textRotation="0" wrapText="1" indent="0" justifyLastLine="0" shrinkToFit="0" readingOrder="0"/>
      <border diagonalUp="0" diagonalDown="0" outline="0">
        <left style="thin">
          <color indexed="64"/>
        </left>
        <right style="thin">
          <color indexed="64"/>
        </right>
        <top/>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left style="medium">
          <color indexed="64"/>
        </left>
        <right style="medium">
          <color indexed="64"/>
        </right>
        <top style="thin">
          <color indexed="64"/>
        </top>
        <bottom style="thin">
          <color indexed="64"/>
        </bottom>
        <vertical/>
        <horizontal/>
      </border>
    </dxf>
    <dxf>
      <font>
        <b val="0"/>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outline="0">
        <left/>
        <right style="medium">
          <color indexed="64"/>
        </right>
        <top style="thin">
          <color indexed="64"/>
        </top>
        <bottom style="thin">
          <color indexed="64"/>
        </bottom>
      </border>
    </dxf>
    <dxf>
      <font>
        <b/>
      </font>
      <numFmt numFmtId="34" formatCode="_-* #,##0.00\ &quot;zł&quot;_-;\-* #,##0.00\ &quot;zł&quot;_-;_-* &quot;-&quot;??\ &quot;zł&quot;_-;_-@_-"/>
      <fill>
        <patternFill patternType="solid">
          <fgColor indexed="64"/>
          <bgColor theme="0" tint="-0.14999847407452621"/>
        </patternFill>
      </fill>
      <border diagonalUp="0" diagonalDown="0" outline="0">
        <left/>
        <right style="medium">
          <color indexed="64"/>
        </right>
        <top style="thin">
          <color indexed="64"/>
        </top>
        <bottom style="thin">
          <color indexed="64"/>
        </bottom>
      </border>
    </dxf>
    <dxf>
      <font>
        <b/>
      </font>
      <numFmt numFmtId="0" formatCode="General"/>
      <fill>
        <patternFill patternType="solid">
          <fgColor indexed="64"/>
          <bgColor theme="0" tint="-0.14999847407452621"/>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0" formatCode="General"/>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font>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right style="thin">
          <color indexed="64"/>
        </right>
        <top style="thin">
          <color indexed="64"/>
        </top>
        <bottom style="thin">
          <color indexed="64"/>
        </bottom>
      </border>
    </dxf>
    <dxf>
      <border diagonalUp="0" diagonalDown="0">
        <left style="thin">
          <color rgb="FF000000"/>
        </left>
        <right style="thin">
          <color rgb="FF000000"/>
        </right>
        <top/>
        <bottom/>
        <vertical style="thin">
          <color rgb="FF000000"/>
        </vertical>
        <horizontal style="thin">
          <color rgb="FF000000"/>
        </horizontal>
      </border>
    </dxf>
    <dxf>
      <fill>
        <patternFill patternType="solid">
          <fgColor rgb="FF000000"/>
          <bgColor rgb="FFFFFFFF"/>
        </patternFill>
      </fill>
    </dxf>
    <dxf>
      <alignment textRotation="0" wrapText="1" indent="0" justifyLastLine="0" shrinkToFit="0" readingOrder="0"/>
      <border diagonalUp="0" diagonalDown="0" outline="0">
        <left style="thin">
          <color indexed="64"/>
        </left>
        <right style="thin">
          <color indexed="64"/>
        </right>
        <top/>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left style="medium">
          <color indexed="64"/>
        </left>
        <right style="medium">
          <color indexed="64"/>
        </right>
        <top style="thin">
          <color indexed="64"/>
        </top>
        <bottom style="thin">
          <color indexed="64"/>
        </bottom>
        <vertical/>
        <horizontal/>
      </border>
    </dxf>
    <dxf>
      <font>
        <b val="0"/>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outline="0">
        <left/>
        <right style="medium">
          <color indexed="64"/>
        </right>
        <top style="thin">
          <color indexed="64"/>
        </top>
        <bottom style="thin">
          <color indexed="64"/>
        </bottom>
      </border>
    </dxf>
    <dxf>
      <font>
        <b/>
      </font>
      <numFmt numFmtId="34" formatCode="_-* #,##0.00\ &quot;zł&quot;_-;\-* #,##0.00\ &quot;zł&quot;_-;_-* &quot;-&quot;??\ &quot;zł&quot;_-;_-@_-"/>
      <fill>
        <patternFill patternType="solid">
          <fgColor indexed="64"/>
          <bgColor theme="0" tint="-0.14999847407452621"/>
        </patternFill>
      </fill>
      <border diagonalUp="0" diagonalDown="0" outline="0">
        <left/>
        <right style="medium">
          <color indexed="64"/>
        </right>
        <top style="thin">
          <color indexed="64"/>
        </top>
        <bottom style="thin">
          <color indexed="64"/>
        </bottom>
      </border>
    </dxf>
    <dxf>
      <font>
        <b/>
      </font>
      <numFmt numFmtId="0" formatCode="General"/>
      <fill>
        <patternFill patternType="solid">
          <fgColor indexed="64"/>
          <bgColor theme="0" tint="-0.14999847407452621"/>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0" formatCode="General"/>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font>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right style="thin">
          <color indexed="64"/>
        </right>
        <top style="thin">
          <color indexed="64"/>
        </top>
        <bottom style="thin">
          <color indexed="64"/>
        </bottom>
      </border>
    </dxf>
    <dxf>
      <border diagonalUp="0" diagonalDown="0">
        <left style="thin">
          <color rgb="FF000000"/>
        </left>
        <right style="thin">
          <color rgb="FF000000"/>
        </right>
        <top/>
        <bottom/>
        <vertical style="thin">
          <color rgb="FF000000"/>
        </vertical>
        <horizontal style="thin">
          <color rgb="FF000000"/>
        </horizontal>
      </border>
    </dxf>
    <dxf>
      <fill>
        <patternFill patternType="solid">
          <fgColor rgb="FF000000"/>
          <bgColor rgb="FFFFFFFF"/>
        </patternFill>
      </fill>
    </dxf>
    <dxf>
      <alignment textRotation="0" wrapText="1" indent="0" justifyLastLine="0" shrinkToFit="0" readingOrder="0"/>
      <border diagonalUp="0" diagonalDown="0" outline="0">
        <left style="thin">
          <color indexed="64"/>
        </left>
        <right style="thin">
          <color indexed="64"/>
        </right>
        <top/>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34" formatCode="_-* #,##0.00\ &quot;zł&quot;_-;\-* #,##0.00\ &quot;zł&quot;_-;_-* &quot;-&quot;??\ &quot;zł&quot;_-;_-@_-"/>
      <fill>
        <patternFill patternType="solid">
          <fgColor indexed="64"/>
          <bgColor theme="0"/>
        </patternFill>
      </fill>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left style="medium">
          <color indexed="64"/>
        </left>
        <right style="medium">
          <color indexed="64"/>
        </right>
        <top style="thin">
          <color indexed="64"/>
        </top>
        <bottom style="thin">
          <color indexed="64"/>
        </bottom>
        <vertical/>
        <horizontal/>
      </border>
    </dxf>
    <dxf>
      <font>
        <b val="0"/>
        <i val="0"/>
        <strike val="0"/>
        <condense val="0"/>
        <extend val="0"/>
        <outline val="0"/>
        <shadow val="0"/>
        <u val="none"/>
        <vertAlign val="baseline"/>
        <sz val="11"/>
        <color theme="1"/>
        <name val="Calibri"/>
        <family val="2"/>
        <charset val="238"/>
        <scheme val="minor"/>
      </font>
      <numFmt numFmtId="34" formatCode="_-* #,##0.00\ &quot;zł&quot;_-;\-* #,##0.00\ &quot;zł&quot;_-;_-* &quot;-&quot;??\ &quot;zł&quot;_-;_-@_-"/>
      <fill>
        <patternFill patternType="solid">
          <fgColor indexed="64"/>
          <bgColor theme="0"/>
        </patternFill>
      </fill>
      <border diagonalUp="0" diagonalDown="0" outline="0">
        <left/>
        <right style="medium">
          <color indexed="64"/>
        </right>
        <top style="thin">
          <color indexed="64"/>
        </top>
        <bottom style="thin">
          <color indexed="64"/>
        </bottom>
      </border>
    </dxf>
    <dxf>
      <font>
        <b/>
      </font>
      <numFmt numFmtId="34" formatCode="_-* #,##0.00\ &quot;zł&quot;_-;\-* #,##0.00\ &quot;zł&quot;_-;_-* &quot;-&quot;??\ &quot;zł&quot;_-;_-@_-"/>
      <fill>
        <patternFill patternType="solid">
          <fgColor indexed="64"/>
          <bgColor theme="0" tint="-0.14999847407452621"/>
        </patternFill>
      </fill>
      <border diagonalUp="0" diagonalDown="0" outline="0">
        <left/>
        <right style="medium">
          <color indexed="64"/>
        </right>
        <top style="thin">
          <color indexed="64"/>
        </top>
        <bottom style="thin">
          <color indexed="64"/>
        </bottom>
      </border>
    </dxf>
    <dxf>
      <font>
        <b/>
      </font>
      <numFmt numFmtId="0" formatCode="General"/>
      <fill>
        <patternFill patternType="solid">
          <fgColor indexed="64"/>
          <bgColor theme="0" tint="-0.14999847407452621"/>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numFmt numFmtId="0" formatCode="General"/>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alignment horizontal="lef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font>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solid">
          <fgColor indexed="64"/>
          <bgColor theme="0"/>
        </patternFill>
      </fill>
      <border diagonalUp="0" diagonalDown="0" outline="0">
        <left/>
        <right style="thin">
          <color indexed="64"/>
        </right>
        <top style="thin">
          <color indexed="64"/>
        </top>
        <bottom style="thin">
          <color indexed="64"/>
        </bottom>
      </border>
    </dxf>
    <dxf>
      <border diagonalUp="0" diagonalDown="0">
        <left style="thin">
          <color rgb="FF000000"/>
        </left>
        <right style="thin">
          <color rgb="FF000000"/>
        </right>
        <top/>
        <bottom/>
        <vertical style="thin">
          <color rgb="FF000000"/>
        </vertical>
        <horizontal style="thin">
          <color rgb="FF000000"/>
        </horizontal>
      </border>
    </dxf>
    <dxf>
      <fill>
        <patternFill patternType="solid">
          <fgColor rgb="FF000000"/>
          <bgColor rgb="FFFFFFFF"/>
        </patternFill>
      </fill>
    </dxf>
    <dxf>
      <alignment textRotation="0" wrapText="1" indent="0" justifyLastLine="0" shrinkToFit="0" readingOrder="0"/>
      <border diagonalUp="0" diagonalDown="0" outline="0">
        <left style="thin">
          <color indexed="64"/>
        </left>
        <right style="thin">
          <color indexed="64"/>
        </right>
        <top/>
        <bottom/>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jpe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4.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3.png"/></Relationships>
</file>

<file path=xl/drawings/_rels/drawing6.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jpeg"/></Relationships>
</file>

<file path=xl/drawings/drawing1.xml><?xml version="1.0" encoding="utf-8"?>
<xdr:wsDr xmlns:xdr="http://schemas.openxmlformats.org/drawingml/2006/spreadsheetDrawing" xmlns:a="http://schemas.openxmlformats.org/drawingml/2006/main">
  <xdr:twoCellAnchor editAs="oneCell">
    <xdr:from>
      <xdr:col>4</xdr:col>
      <xdr:colOff>561975</xdr:colOff>
      <xdr:row>1</xdr:row>
      <xdr:rowOff>485774</xdr:rowOff>
    </xdr:from>
    <xdr:to>
      <xdr:col>4</xdr:col>
      <xdr:colOff>2676525</xdr:colOff>
      <xdr:row>1</xdr:row>
      <xdr:rowOff>2628899</xdr:rowOff>
    </xdr:to>
    <xdr:pic>
      <xdr:nvPicPr>
        <xdr:cNvPr id="2" name="Obraz 1">
          <a:extLst>
            <a:ext uri="{FF2B5EF4-FFF2-40B4-BE49-F238E27FC236}">
              <a16:creationId xmlns:a16="http://schemas.microsoft.com/office/drawing/2014/main" id="{3B919613-2B43-49E3-94DC-4790C9641946}"/>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581775" y="1057274"/>
          <a:ext cx="2114550" cy="2143125"/>
        </a:xfrm>
        <a:prstGeom prst="rect">
          <a:avLst/>
        </a:prstGeom>
        <a:noFill/>
        <a:ln>
          <a:noFill/>
        </a:ln>
      </xdr:spPr>
    </xdr:pic>
    <xdr:clientData/>
  </xdr:twoCellAnchor>
  <xdr:twoCellAnchor editAs="oneCell">
    <xdr:from>
      <xdr:col>4</xdr:col>
      <xdr:colOff>761999</xdr:colOff>
      <xdr:row>3</xdr:row>
      <xdr:rowOff>76200</xdr:rowOff>
    </xdr:from>
    <xdr:to>
      <xdr:col>4</xdr:col>
      <xdr:colOff>2543174</xdr:colOff>
      <xdr:row>3</xdr:row>
      <xdr:rowOff>1828800</xdr:rowOff>
    </xdr:to>
    <xdr:pic>
      <xdr:nvPicPr>
        <xdr:cNvPr id="3" name="Obraz 2">
          <a:extLst>
            <a:ext uri="{FF2B5EF4-FFF2-40B4-BE49-F238E27FC236}">
              <a16:creationId xmlns:a16="http://schemas.microsoft.com/office/drawing/2014/main" id="{9B8BA2BC-F471-4992-82FB-80D21583E36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781799" y="9029700"/>
          <a:ext cx="1781175" cy="1752600"/>
        </a:xfrm>
        <a:prstGeom prst="rect">
          <a:avLst/>
        </a:prstGeom>
      </xdr:spPr>
    </xdr:pic>
    <xdr:clientData/>
  </xdr:twoCellAnchor>
  <xdr:twoCellAnchor editAs="oneCell">
    <xdr:from>
      <xdr:col>4</xdr:col>
      <xdr:colOff>619124</xdr:colOff>
      <xdr:row>2</xdr:row>
      <xdr:rowOff>180975</xdr:rowOff>
    </xdr:from>
    <xdr:to>
      <xdr:col>4</xdr:col>
      <xdr:colOff>2581275</xdr:colOff>
      <xdr:row>2</xdr:row>
      <xdr:rowOff>2314575</xdr:rowOff>
    </xdr:to>
    <xdr:pic>
      <xdr:nvPicPr>
        <xdr:cNvPr id="4" name="Obraz 3" descr="PAX / ÅHEIM Kombinacja szafy, biały/lustro, 50x60x201 cm">
          <a:extLst>
            <a:ext uri="{FF2B5EF4-FFF2-40B4-BE49-F238E27FC236}">
              <a16:creationId xmlns:a16="http://schemas.microsoft.com/office/drawing/2014/main" id="{B1F87B7F-A0C8-4D13-8946-03C7E9EE8AB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638924" y="6657975"/>
          <a:ext cx="1962151"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1028700</xdr:colOff>
      <xdr:row>2</xdr:row>
      <xdr:rowOff>609600</xdr:rowOff>
    </xdr:from>
    <xdr:to>
      <xdr:col>4</xdr:col>
      <xdr:colOff>2625990</xdr:colOff>
      <xdr:row>2</xdr:row>
      <xdr:rowOff>2712902</xdr:rowOff>
    </xdr:to>
    <xdr:pic>
      <xdr:nvPicPr>
        <xdr:cNvPr id="12" name="Obraz 11">
          <a:extLst>
            <a:ext uri="{FF2B5EF4-FFF2-40B4-BE49-F238E27FC236}">
              <a16:creationId xmlns:a16="http://schemas.microsoft.com/office/drawing/2014/main" id="{6DC1B953-809C-4755-8291-09B1A1F88BA0}"/>
            </a:ext>
          </a:extLst>
        </xdr:cNvPr>
        <xdr:cNvPicPr>
          <a:picLocks noChangeAspect="1"/>
        </xdr:cNvPicPr>
      </xdr:nvPicPr>
      <xdr:blipFill>
        <a:blip xmlns:r="http://schemas.openxmlformats.org/officeDocument/2006/relationships" r:embed="rId1"/>
        <a:stretch>
          <a:fillRect/>
        </a:stretch>
      </xdr:blipFill>
      <xdr:spPr>
        <a:xfrm>
          <a:off x="7048500" y="28155900"/>
          <a:ext cx="1597290" cy="2103302"/>
        </a:xfrm>
        <a:prstGeom prst="rect">
          <a:avLst/>
        </a:prstGeom>
      </xdr:spPr>
    </xdr:pic>
    <xdr:clientData/>
  </xdr:twoCellAnchor>
  <xdr:twoCellAnchor editAs="oneCell">
    <xdr:from>
      <xdr:col>4</xdr:col>
      <xdr:colOff>390525</xdr:colOff>
      <xdr:row>1</xdr:row>
      <xdr:rowOff>485774</xdr:rowOff>
    </xdr:from>
    <xdr:to>
      <xdr:col>4</xdr:col>
      <xdr:colOff>3009900</xdr:colOff>
      <xdr:row>1</xdr:row>
      <xdr:rowOff>3105149</xdr:rowOff>
    </xdr:to>
    <xdr:pic>
      <xdr:nvPicPr>
        <xdr:cNvPr id="14" name="Obraz 13" descr="Krzesło biurowe stacjonarne konferencyjne Cube FT-121 / FT-161 (na kółkach) Intar Seating">
          <a:extLst>
            <a:ext uri="{FF2B5EF4-FFF2-40B4-BE49-F238E27FC236}">
              <a16:creationId xmlns:a16="http://schemas.microsoft.com/office/drawing/2014/main" id="{04C56699-5ECE-460A-A44A-D1412258434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410325" y="19088099"/>
          <a:ext cx="2619375" cy="2619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590550</xdr:colOff>
      <xdr:row>4</xdr:row>
      <xdr:rowOff>345281</xdr:rowOff>
    </xdr:from>
    <xdr:to>
      <xdr:col>4</xdr:col>
      <xdr:colOff>2673820</xdr:colOff>
      <xdr:row>4</xdr:row>
      <xdr:rowOff>3212306</xdr:rowOff>
    </xdr:to>
    <xdr:pic>
      <xdr:nvPicPr>
        <xdr:cNvPr id="16" name="Obraz 15">
          <a:extLst>
            <a:ext uri="{FF2B5EF4-FFF2-40B4-BE49-F238E27FC236}">
              <a16:creationId xmlns:a16="http://schemas.microsoft.com/office/drawing/2014/main" id="{FBB638B0-DF02-429B-B0B7-1BF14BA76AF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10350" y="31711106"/>
          <a:ext cx="2083270" cy="2867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500062</xdr:colOff>
      <xdr:row>3</xdr:row>
      <xdr:rowOff>809625</xdr:rowOff>
    </xdr:from>
    <xdr:to>
      <xdr:col>4</xdr:col>
      <xdr:colOff>3121569</xdr:colOff>
      <xdr:row>3</xdr:row>
      <xdr:rowOff>3431132</xdr:rowOff>
    </xdr:to>
    <xdr:pic>
      <xdr:nvPicPr>
        <xdr:cNvPr id="18" name="Obraz 17">
          <a:extLst>
            <a:ext uri="{FF2B5EF4-FFF2-40B4-BE49-F238E27FC236}">
              <a16:creationId xmlns:a16="http://schemas.microsoft.com/office/drawing/2014/main" id="{28BF6AAD-97A3-2B54-64C4-96150543F2B9}"/>
            </a:ext>
          </a:extLst>
        </xdr:cNvPr>
        <xdr:cNvPicPr>
          <a:picLocks noChangeAspect="1"/>
        </xdr:cNvPicPr>
      </xdr:nvPicPr>
      <xdr:blipFill>
        <a:blip xmlns:r="http://schemas.openxmlformats.org/officeDocument/2006/relationships" r:embed="rId4"/>
        <a:stretch>
          <a:fillRect/>
        </a:stretch>
      </xdr:blipFill>
      <xdr:spPr>
        <a:xfrm>
          <a:off x="6524625" y="8632031"/>
          <a:ext cx="2621507" cy="262150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542925</xdr:colOff>
      <xdr:row>1</xdr:row>
      <xdr:rowOff>425025</xdr:rowOff>
    </xdr:from>
    <xdr:to>
      <xdr:col>4</xdr:col>
      <xdr:colOff>2657475</xdr:colOff>
      <xdr:row>1</xdr:row>
      <xdr:rowOff>2514600</xdr:rowOff>
    </xdr:to>
    <xdr:pic>
      <xdr:nvPicPr>
        <xdr:cNvPr id="11" name="Obraz 10">
          <a:extLst>
            <a:ext uri="{FF2B5EF4-FFF2-40B4-BE49-F238E27FC236}">
              <a16:creationId xmlns:a16="http://schemas.microsoft.com/office/drawing/2014/main" id="{18EB5EB0-72D0-4083-8576-32A6C03DFBBB}"/>
            </a:ext>
          </a:extLst>
        </xdr:cNvPr>
        <xdr:cNvPicPr>
          <a:picLocks noChangeAspect="1"/>
        </xdr:cNvPicPr>
      </xdr:nvPicPr>
      <xdr:blipFill>
        <a:blip xmlns:r="http://schemas.openxmlformats.org/officeDocument/2006/relationships" r:embed="rId1"/>
        <a:stretch>
          <a:fillRect/>
        </a:stretch>
      </xdr:blipFill>
      <xdr:spPr>
        <a:xfrm flipH="1">
          <a:off x="6562725" y="22456350"/>
          <a:ext cx="2114550" cy="2089575"/>
        </a:xfrm>
        <a:prstGeom prst="rect">
          <a:avLst/>
        </a:prstGeom>
      </xdr:spPr>
    </xdr:pic>
    <xdr:clientData/>
  </xdr:twoCellAnchor>
  <xdr:twoCellAnchor editAs="oneCell">
    <xdr:from>
      <xdr:col>4</xdr:col>
      <xdr:colOff>16670</xdr:colOff>
      <xdr:row>2</xdr:row>
      <xdr:rowOff>109537</xdr:rowOff>
    </xdr:from>
    <xdr:to>
      <xdr:col>4</xdr:col>
      <xdr:colOff>2864645</xdr:colOff>
      <xdr:row>2</xdr:row>
      <xdr:rowOff>2957512</xdr:rowOff>
    </xdr:to>
    <xdr:pic>
      <xdr:nvPicPr>
        <xdr:cNvPr id="15" name="Obraz 14" descr="145954, 145807, 145660, 145366, 144778, 145219, 145072, 144925, 144631, 144484, 144337">
          <a:extLst>
            <a:ext uri="{FF2B5EF4-FFF2-40B4-BE49-F238E27FC236}">
              <a16:creationId xmlns:a16="http://schemas.microsoft.com/office/drawing/2014/main" id="{7646A0D6-924B-47B4-9AF7-7A0AB4E7F62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41233" y="3526631"/>
          <a:ext cx="2847975" cy="2847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587692</xdr:colOff>
      <xdr:row>1</xdr:row>
      <xdr:rowOff>165734</xdr:rowOff>
    </xdr:from>
    <xdr:to>
      <xdr:col>4</xdr:col>
      <xdr:colOff>2711767</xdr:colOff>
      <xdr:row>1</xdr:row>
      <xdr:rowOff>1899284</xdr:rowOff>
    </xdr:to>
    <xdr:pic>
      <xdr:nvPicPr>
        <xdr:cNvPr id="7" name="Obraz 6">
          <a:extLst>
            <a:ext uri="{FF2B5EF4-FFF2-40B4-BE49-F238E27FC236}">
              <a16:creationId xmlns:a16="http://schemas.microsoft.com/office/drawing/2014/main" id="{4C6020FE-41BC-476B-9700-2243B09B0A0A}"/>
            </a:ext>
          </a:extLst>
        </xdr:cNvPr>
        <xdr:cNvPicPr>
          <a:picLocks noChangeAspect="1"/>
        </xdr:cNvPicPr>
      </xdr:nvPicPr>
      <xdr:blipFill>
        <a:blip xmlns:r="http://schemas.openxmlformats.org/officeDocument/2006/relationships" r:embed="rId1"/>
        <a:stretch>
          <a:fillRect/>
        </a:stretch>
      </xdr:blipFill>
      <xdr:spPr>
        <a:xfrm>
          <a:off x="6612255" y="737234"/>
          <a:ext cx="2124075" cy="1733550"/>
        </a:xfrm>
        <a:prstGeom prst="rect">
          <a:avLst/>
        </a:prstGeom>
      </xdr:spPr>
    </xdr:pic>
    <xdr:clientData/>
  </xdr:twoCellAnchor>
  <xdr:oneCellAnchor>
    <xdr:from>
      <xdr:col>4</xdr:col>
      <xdr:colOff>15241</xdr:colOff>
      <xdr:row>2</xdr:row>
      <xdr:rowOff>449581</xdr:rowOff>
    </xdr:from>
    <xdr:ext cx="1699260" cy="1699260"/>
    <xdr:pic>
      <xdr:nvPicPr>
        <xdr:cNvPr id="9" name="Obraz 8">
          <a:extLst>
            <a:ext uri="{FF2B5EF4-FFF2-40B4-BE49-F238E27FC236}">
              <a16:creationId xmlns:a16="http://schemas.microsoft.com/office/drawing/2014/main" id="{B1632C80-6BEB-4362-8AAA-A0BAD367E523}"/>
            </a:ext>
          </a:extLst>
        </xdr:cNvPr>
        <xdr:cNvPicPr>
          <a:picLocks noChangeAspect="1"/>
        </xdr:cNvPicPr>
      </xdr:nvPicPr>
      <xdr:blipFill>
        <a:blip xmlns:r="http://schemas.openxmlformats.org/officeDocument/2006/relationships" r:embed="rId2"/>
        <a:stretch>
          <a:fillRect/>
        </a:stretch>
      </xdr:blipFill>
      <xdr:spPr>
        <a:xfrm>
          <a:off x="6035041" y="25328881"/>
          <a:ext cx="1699260" cy="1699260"/>
        </a:xfrm>
        <a:prstGeom prst="rect">
          <a:avLst/>
        </a:prstGeom>
      </xdr:spPr>
    </xdr:pic>
    <xdr:clientData/>
  </xdr:oneCellAnchor>
  <xdr:twoCellAnchor editAs="oneCell">
    <xdr:from>
      <xdr:col>4</xdr:col>
      <xdr:colOff>1800225</xdr:colOff>
      <xdr:row>2</xdr:row>
      <xdr:rowOff>542925</xdr:rowOff>
    </xdr:from>
    <xdr:to>
      <xdr:col>4</xdr:col>
      <xdr:colOff>3299971</xdr:colOff>
      <xdr:row>2</xdr:row>
      <xdr:rowOff>2042671</xdr:rowOff>
    </xdr:to>
    <xdr:pic>
      <xdr:nvPicPr>
        <xdr:cNvPr id="10" name="Obraz 9">
          <a:extLst>
            <a:ext uri="{FF2B5EF4-FFF2-40B4-BE49-F238E27FC236}">
              <a16:creationId xmlns:a16="http://schemas.microsoft.com/office/drawing/2014/main" id="{933D2E98-E27C-4799-BD2E-0017E0367AE3}"/>
            </a:ext>
          </a:extLst>
        </xdr:cNvPr>
        <xdr:cNvPicPr>
          <a:picLocks noChangeAspect="1"/>
        </xdr:cNvPicPr>
      </xdr:nvPicPr>
      <xdr:blipFill>
        <a:blip xmlns:r="http://schemas.openxmlformats.org/officeDocument/2006/relationships" r:embed="rId3"/>
        <a:stretch>
          <a:fillRect/>
        </a:stretch>
      </xdr:blipFill>
      <xdr:spPr>
        <a:xfrm>
          <a:off x="7820025" y="25422225"/>
          <a:ext cx="1499746" cy="149974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790575</xdr:colOff>
      <xdr:row>2</xdr:row>
      <xdr:rowOff>238125</xdr:rowOff>
    </xdr:from>
    <xdr:to>
      <xdr:col>4</xdr:col>
      <xdr:colOff>2259838</xdr:colOff>
      <xdr:row>2</xdr:row>
      <xdr:rowOff>1707388</xdr:rowOff>
    </xdr:to>
    <xdr:pic>
      <xdr:nvPicPr>
        <xdr:cNvPr id="8" name="Obraz 7">
          <a:extLst>
            <a:ext uri="{FF2B5EF4-FFF2-40B4-BE49-F238E27FC236}">
              <a16:creationId xmlns:a16="http://schemas.microsoft.com/office/drawing/2014/main" id="{DFFC4020-B918-4101-B70D-ED588AE297F1}"/>
            </a:ext>
          </a:extLst>
        </xdr:cNvPr>
        <xdr:cNvPicPr>
          <a:picLocks noChangeAspect="1"/>
        </xdr:cNvPicPr>
      </xdr:nvPicPr>
      <xdr:blipFill>
        <a:blip xmlns:r="http://schemas.openxmlformats.org/officeDocument/2006/relationships" r:embed="rId1"/>
        <a:stretch>
          <a:fillRect/>
        </a:stretch>
      </xdr:blipFill>
      <xdr:spPr>
        <a:xfrm>
          <a:off x="6810375" y="16744950"/>
          <a:ext cx="1469263" cy="1469263"/>
        </a:xfrm>
        <a:prstGeom prst="rect">
          <a:avLst/>
        </a:prstGeom>
      </xdr:spPr>
    </xdr:pic>
    <xdr:clientData/>
  </xdr:twoCellAnchor>
  <xdr:twoCellAnchor editAs="oneCell">
    <xdr:from>
      <xdr:col>4</xdr:col>
      <xdr:colOff>619126</xdr:colOff>
      <xdr:row>1</xdr:row>
      <xdr:rowOff>1273970</xdr:rowOff>
    </xdr:from>
    <xdr:to>
      <xdr:col>4</xdr:col>
      <xdr:colOff>2843150</xdr:colOff>
      <xdr:row>1</xdr:row>
      <xdr:rowOff>3571876</xdr:rowOff>
    </xdr:to>
    <xdr:pic>
      <xdr:nvPicPr>
        <xdr:cNvPr id="5" name="gallery" descr="Metalowa szafa kartotekowa A4, 4 szuflady, kolor szary">
          <a:extLst>
            <a:ext uri="{FF2B5EF4-FFF2-40B4-BE49-F238E27FC236}">
              <a16:creationId xmlns:a16="http://schemas.microsoft.com/office/drawing/2014/main" id="{D3C94E80-1C1C-420D-9589-DB816C360A8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643689" y="1845470"/>
          <a:ext cx="2224024" cy="2297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485775</xdr:colOff>
      <xdr:row>1</xdr:row>
      <xdr:rowOff>190500</xdr:rowOff>
    </xdr:from>
    <xdr:to>
      <xdr:col>4</xdr:col>
      <xdr:colOff>2514600</xdr:colOff>
      <xdr:row>1</xdr:row>
      <xdr:rowOff>2438400</xdr:rowOff>
    </xdr:to>
    <xdr:pic>
      <xdr:nvPicPr>
        <xdr:cNvPr id="6" name="Obraz 5" descr="Stojak wieszak na ubrania odzież parasole marmur Goodhome">
          <a:extLst>
            <a:ext uri="{FF2B5EF4-FFF2-40B4-BE49-F238E27FC236}">
              <a16:creationId xmlns:a16="http://schemas.microsoft.com/office/drawing/2014/main" id="{4774A103-73EB-4739-9048-C16401446C0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505575" y="14058900"/>
          <a:ext cx="2028825" cy="224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1285875</xdr:colOff>
      <xdr:row>2</xdr:row>
      <xdr:rowOff>78582</xdr:rowOff>
    </xdr:from>
    <xdr:to>
      <xdr:col>4</xdr:col>
      <xdr:colOff>2133332</xdr:colOff>
      <xdr:row>2</xdr:row>
      <xdr:rowOff>3302087</xdr:rowOff>
    </xdr:to>
    <xdr:pic>
      <xdr:nvPicPr>
        <xdr:cNvPr id="13" name="Obraz 12">
          <a:extLst>
            <a:ext uri="{FF2B5EF4-FFF2-40B4-BE49-F238E27FC236}">
              <a16:creationId xmlns:a16="http://schemas.microsoft.com/office/drawing/2014/main" id="{B0E0EE5D-AC2B-4280-A6C0-1FA76C4C99F9}"/>
            </a:ext>
          </a:extLst>
        </xdr:cNvPr>
        <xdr:cNvPicPr>
          <a:picLocks noChangeAspect="1"/>
        </xdr:cNvPicPr>
      </xdr:nvPicPr>
      <xdr:blipFill>
        <a:blip xmlns:r="http://schemas.openxmlformats.org/officeDocument/2006/relationships" r:embed="rId2"/>
        <a:stretch>
          <a:fillRect/>
        </a:stretch>
      </xdr:blipFill>
      <xdr:spPr>
        <a:xfrm>
          <a:off x="7305675" y="38283357"/>
          <a:ext cx="847457" cy="3223505"/>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F4363ADE-44EB-42A6-9F2E-7D18646C464D}" name="Tabela22" displayName="Tabela22" ref="A1:O5" totalsRowCount="1" headerRowDxfId="197" dataDxfId="196" totalsRowDxfId="195">
  <autoFilter ref="A1:O4" xr:uid="{00000000-0009-0000-0100-000002000000}"/>
  <tableColumns count="15">
    <tableColumn id="1" xr3:uid="{F5A2DD53-48EC-4367-B1C5-D5C437396472}" name="L.p." dataDxfId="194" totalsRowDxfId="89"/>
    <tableColumn id="2" xr3:uid="{99F6B2CA-33D0-459D-A50D-6C9FE51F3791}" name="Nazwa" dataDxfId="193" totalsRowDxfId="88"/>
    <tableColumn id="3" xr3:uid="{F645B793-5DCE-4713-8D7D-5A461878BEDE}" name="DZIAŁ / adres dostawy" dataDxfId="192" totalsRowDxfId="87"/>
    <tableColumn id="5" xr3:uid="{66220035-1A84-4ABB-A633-04D6418CFFAF}" name="opis przedmiotu" dataDxfId="191" totalsRowDxfId="86"/>
    <tableColumn id="6" xr3:uid="{8048A250-64E5-4CEB-9C8C-11C8482DB7BD}" name="Zdjęcie poglądowe" dataDxfId="190" totalsRowDxfId="85"/>
    <tableColumn id="8" xr3:uid="{744067A1-59DC-4601-9987-C7852D690ABE}" name="ilość DOA" dataDxfId="189" totalsRowDxfId="84"/>
    <tableColumn id="9" xr3:uid="{4EC6DB28-10B9-4FC5-A6FF-1BF559982A41}" name="ilość WOA" dataDxfId="188" totalsRowDxfId="83"/>
    <tableColumn id="15" xr3:uid="{C8F5D4EF-C2C0-4DBB-ABAB-C15D52D15201}" name="łączna ilość" dataDxfId="187" totalsRowDxfId="82">
      <calculatedColumnFormula>Tabela22[[#This Row],[ilość DOA]]+Tabela22[[#This Row],[ilość WOA]]</calculatedColumnFormula>
    </tableColumn>
    <tableColumn id="11" xr3:uid="{EC7DB358-7FF9-4E65-8DA5-C83D6723ED4A}" name="szacunkowa cena jednostkowa netto" dataDxfId="186" totalsRowDxfId="81"/>
    <tableColumn id="22" xr3:uid="{9A8F4717-1A93-49C4-82CB-B8EA55352CCC}" name="szacunkowa wartość netto " totalsRowFunction="sum" dataDxfId="185" totalsRowDxfId="80">
      <calculatedColumnFormula>Tabela22[[#This Row],[szacunkowa cena jednostkowa netto]]*Tabela22[[#This Row],[łączna ilość]]</calculatedColumnFormula>
    </tableColumn>
    <tableColumn id="23" xr3:uid="{2E3FCF92-AC10-4107-AAB2-E5AD23C0C69D}" name="szacunkowa wartość brutto" totalsRowFunction="sum" dataDxfId="184" totalsRowDxfId="79">
      <calculatedColumnFormula>Tabela22[[#This Row],[łączna ilość]]*Tabela22[[#This Row],[szacunkowa cena jednostkowa netto]]*1.23</calculatedColumnFormula>
    </tableColumn>
    <tableColumn id="12" xr3:uid="{12BB86F9-59F9-4C22-85A3-FB096B90A16F}" name="bużet DOA netto" totalsRowFunction="sum" dataDxfId="183" totalsRowDxfId="78">
      <calculatedColumnFormula>Tabela22[[#This Row],[szacunkowa cena jednostkowa netto]]*Tabela22[[#This Row],[łączna ilość]]</calculatedColumnFormula>
    </tableColumn>
    <tableColumn id="21" xr3:uid="{59761AAA-7288-4B53-99B0-EC37453EFD53}" name="budżet DOA brutto" totalsRowFunction="sum" dataDxfId="182" totalsRowDxfId="77">
      <calculatedColumnFormula>Tabela22[[#This Row],[bużet DOA netto]]*1.23</calculatedColumnFormula>
    </tableColumn>
    <tableColumn id="20" xr3:uid="{40A138A3-A054-4821-B250-464F1A07CF6C}" name="budżet WOA netto " totalsRowFunction="sum" dataDxfId="181" totalsRowDxfId="76">
      <calculatedColumnFormula>Tabela22[[#This Row],[szacunkowa cena jednostkowa netto]]*Tabela22[[#This Row],[łączna ilość]]</calculatedColumnFormula>
    </tableColumn>
    <tableColumn id="19" xr3:uid="{6159388C-B1C7-4FDB-A5A4-F2714819E4C9}" name="Budżet WOA brutto" totalsRowFunction="sum" dataDxfId="180" totalsRowDxfId="75">
      <calculatedColumnFormula>Tabela22[[#This Row],[budżet WOA netto ]]*1.23</calculatedColumnFormula>
    </tableColumn>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B9BE7D48-2D8B-405A-B889-4C29D5CCA022}" name="Tabela224" displayName="Tabela224" ref="A1:O6" totalsRowCount="1" headerRowDxfId="179" dataDxfId="178" totalsRowDxfId="177">
  <autoFilter ref="A1:O5" xr:uid="{00000000-0009-0000-0100-000002000000}"/>
  <tableColumns count="15">
    <tableColumn id="1" xr3:uid="{83E94CED-141B-4F4C-A560-AC2EB205E2A3}" name="L.p." dataDxfId="176" totalsRowDxfId="74"/>
    <tableColumn id="2" xr3:uid="{71B4D51D-744A-47CC-8CE3-B2CBC652C32A}" name="Nazwa" dataDxfId="175" totalsRowDxfId="73"/>
    <tableColumn id="3" xr3:uid="{07FF6DAF-2BAC-4951-A223-6CC5A3A24823}" name="DZIAŁ / adres dostawy" dataDxfId="174" totalsRowDxfId="72"/>
    <tableColumn id="5" xr3:uid="{E2109B13-9E93-40FA-9CA9-4D4BDF0A87D6}" name="opis przedmiotu" dataDxfId="173" totalsRowDxfId="71"/>
    <tableColumn id="6" xr3:uid="{C1E33830-CA51-4872-AA9E-78C09443FAE6}" name="Zdjęcie poglądowe" dataDxfId="172" totalsRowDxfId="70"/>
    <tableColumn id="8" xr3:uid="{18DA0E48-4958-40B2-AAD6-56B20189B759}" name="ilość DOA" dataDxfId="171" totalsRowDxfId="69"/>
    <tableColumn id="9" xr3:uid="{D8017C07-0F53-4758-AB31-6E8E1A419E49}" name="ilość WOA" dataDxfId="170" totalsRowDxfId="68"/>
    <tableColumn id="15" xr3:uid="{EB9A6A2E-7F2A-42A0-8365-86F0E86BB66A}" name="łączna ilość" dataDxfId="169" totalsRowDxfId="67">
      <calculatedColumnFormula>Tabela224[[#This Row],[ilość DOA]]+Tabela224[[#This Row],[ilość WOA]]</calculatedColumnFormula>
    </tableColumn>
    <tableColumn id="11" xr3:uid="{6057BEF6-7AA5-4CBC-B5A0-C24C48BACD85}" name="szacunkowa cena jednostkowa netto" dataDxfId="168" totalsRowDxfId="66"/>
    <tableColumn id="22" xr3:uid="{64517FE1-61BB-45AB-A904-6B92276121B2}" name="szacunkowa wartość netto " totalsRowFunction="sum" dataDxfId="167" totalsRowDxfId="65">
      <calculatedColumnFormula>Tabela224[[#This Row],[szacunkowa cena jednostkowa netto]]*Tabela224[[#This Row],[łączna ilość]]</calculatedColumnFormula>
    </tableColumn>
    <tableColumn id="23" xr3:uid="{C9888942-650C-48C9-9AC5-7BC20A354B2E}" name="szacunkowa wartość brutto" totalsRowFunction="sum" dataDxfId="166" totalsRowDxfId="64">
      <calculatedColumnFormula>Tabela224[[#This Row],[łączna ilość]]*Tabela224[[#This Row],[szacunkowa cena jednostkowa netto]]*1.23</calculatedColumnFormula>
    </tableColumn>
    <tableColumn id="12" xr3:uid="{BDA2B27A-D5C1-465C-B69D-3FB2F569200D}" name="bużet DOA netto" totalsRowFunction="sum" dataDxfId="165" totalsRowDxfId="63">
      <calculatedColumnFormula>Tabela224[[#This Row],[szacunkowa cena jednostkowa netto]]*Tabela224[[#This Row],[łączna ilość]]</calculatedColumnFormula>
    </tableColumn>
    <tableColumn id="21" xr3:uid="{C56BB1FF-92E6-4F2B-8361-87AF31F6E48B}" name="budżet DOA brutto" totalsRowFunction="sum" dataDxfId="164" totalsRowDxfId="62">
      <calculatedColumnFormula>Tabela224[[#This Row],[bużet DOA netto]]*1.23</calculatedColumnFormula>
    </tableColumn>
    <tableColumn id="20" xr3:uid="{5840F97D-FEBA-4DC6-8FBE-EE8A1BB1BD13}" name="budżet WOA netto " totalsRowFunction="sum" dataDxfId="163" totalsRowDxfId="61">
      <calculatedColumnFormula>Tabela224[[#This Row],[szacunkowa cena jednostkowa netto]]*Tabela224[[#This Row],[łączna ilość]]</calculatedColumnFormula>
    </tableColumn>
    <tableColumn id="19" xr3:uid="{18768EA2-4CB5-4CEF-9599-1A5FEBC85F95}" name="Budżet WOA brutto" totalsRowFunction="sum" dataDxfId="162" totalsRowDxfId="60">
      <calculatedColumnFormula>Tabela224[[#This Row],[budżet WOA netto ]]*1.23</calculatedColumnFormula>
    </tableColumn>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EF6C693D-53CC-4953-BB87-B2ABA5250742}" name="Tabela2245" displayName="Tabela2245" ref="A1:O4" totalsRowCount="1" headerRowDxfId="161" dataDxfId="160" totalsRowDxfId="159">
  <autoFilter ref="A1:O3" xr:uid="{00000000-0009-0000-0100-000002000000}"/>
  <tableColumns count="15">
    <tableColumn id="1" xr3:uid="{7ED830DC-D39B-4ED8-8EDA-C05D572F4E2C}" name="L.p." dataDxfId="158" totalsRowDxfId="59"/>
    <tableColumn id="2" xr3:uid="{57C4BCF6-EFD1-426B-B9B0-D5139575A90D}" name="Nazwa" dataDxfId="157" totalsRowDxfId="58"/>
    <tableColumn id="3" xr3:uid="{068ABD09-F92F-45F5-BFBF-8214014C0BB5}" name="DZIAŁ / adres dostawy" dataDxfId="156" totalsRowDxfId="57"/>
    <tableColumn id="5" xr3:uid="{59DB77D7-1061-4A96-A9B5-C08927DB6EDE}" name="opis przedmiotu" dataDxfId="155" totalsRowDxfId="56"/>
    <tableColumn id="6" xr3:uid="{D545C94B-347A-42E4-923C-4201997B4AC2}" name="Zdjęcie poglądowe" dataDxfId="154" totalsRowDxfId="55"/>
    <tableColumn id="8" xr3:uid="{56E782CF-7BB0-44E5-A9BD-2379BCF9429C}" name="ilość DOA" dataDxfId="153" totalsRowDxfId="54"/>
    <tableColumn id="9" xr3:uid="{A652B1CC-A131-4401-B08A-56F7D969A25C}" name="ilość WOA" dataDxfId="152" totalsRowDxfId="53"/>
    <tableColumn id="15" xr3:uid="{4474E50F-1A02-464E-8CD1-9CC48A4C990F}" name="łączna ilość" dataDxfId="151" totalsRowDxfId="52">
      <calculatedColumnFormula>Tabela2245[[#This Row],[ilość DOA]]+Tabela2245[[#This Row],[ilość WOA]]</calculatedColumnFormula>
    </tableColumn>
    <tableColumn id="11" xr3:uid="{5C392072-F36D-4BD1-85FF-44EEC6D34D8F}" name="szacunkowa cena jednostkowa netto" dataDxfId="150" totalsRowDxfId="51"/>
    <tableColumn id="22" xr3:uid="{9023ADBE-22C6-4340-B5DE-3BCFC29A2531}" name="szacunkowa wartość netto " totalsRowFunction="sum" dataDxfId="149" totalsRowDxfId="50">
      <calculatedColumnFormula>Tabela2245[[#This Row],[szacunkowa cena jednostkowa netto]]*Tabela2245[[#This Row],[łączna ilość]]</calculatedColumnFormula>
    </tableColumn>
    <tableColumn id="23" xr3:uid="{B84E4E12-55F0-4FCB-93E0-5FD2C28D6160}" name="szacunkowa wartość brutto" totalsRowFunction="sum" dataDxfId="148" totalsRowDxfId="49">
      <calculatedColumnFormula>Tabela2245[[#This Row],[łączna ilość]]*Tabela2245[[#This Row],[szacunkowa cena jednostkowa netto]]*1.23</calculatedColumnFormula>
    </tableColumn>
    <tableColumn id="12" xr3:uid="{97EC4F3C-A3E2-450D-9E29-1BCFCDAFECC8}" name="bużet DOA netto" totalsRowFunction="sum" dataDxfId="147" totalsRowDxfId="48">
      <calculatedColumnFormula>Tabela2245[[#This Row],[szacunkowa cena jednostkowa netto]]*Tabela2245[[#This Row],[łączna ilość]]</calculatedColumnFormula>
    </tableColumn>
    <tableColumn id="21" xr3:uid="{1E1B723F-4656-4D50-9549-934B891F004E}" name="budżet DOA brutto" totalsRowFunction="sum" dataDxfId="146" totalsRowDxfId="47">
      <calculatedColumnFormula>Tabela2245[[#This Row],[bużet DOA netto]]*1.23</calculatedColumnFormula>
    </tableColumn>
    <tableColumn id="20" xr3:uid="{C4490270-C127-4463-9B38-008A6E3BBB59}" name="budżet WOA netto " totalsRowFunction="sum" dataDxfId="145" totalsRowDxfId="46">
      <calculatedColumnFormula>Tabela2245[[#This Row],[szacunkowa cena jednostkowa netto]]*Tabela2245[[#This Row],[łączna ilość]]</calculatedColumnFormula>
    </tableColumn>
    <tableColumn id="19" xr3:uid="{DB00FC77-27DC-483D-BA79-531942E3C1C9}" name="Budżet WOA brutto" totalsRowFunction="sum" dataDxfId="144" totalsRowDxfId="45">
      <calculatedColumnFormula>Tabela2245[[#This Row],[budżet WOA netto ]]*1.23</calculatedColumnFormula>
    </tableColumn>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32B13CB6-ACC2-4571-8B84-24591ABFE859}" name="Tabela22456" displayName="Tabela22456" ref="A1:O4" totalsRowCount="1" headerRowDxfId="143" dataDxfId="142" totalsRowDxfId="141">
  <autoFilter ref="A1:O3" xr:uid="{00000000-0009-0000-0100-000002000000}"/>
  <tableColumns count="15">
    <tableColumn id="1" xr3:uid="{438BEA35-EFBF-4F62-8A56-0A06EF1C0D5C}" name="L.p." dataDxfId="140" totalsRowDxfId="44"/>
    <tableColumn id="2" xr3:uid="{CB170F34-E5A1-42D3-AC0A-45F54EB5EF22}" name="Nazwa" dataDxfId="139" totalsRowDxfId="43"/>
    <tableColumn id="3" xr3:uid="{AAA91A0C-4852-4CBA-A8B8-6D4535ADAC96}" name="DZIAŁ / adres dostawy" dataDxfId="138" totalsRowDxfId="42"/>
    <tableColumn id="5" xr3:uid="{FAEFBEAD-529B-47C9-B233-C44978424A9E}" name="opis przedmiotu" dataDxfId="137" totalsRowDxfId="41"/>
    <tableColumn id="6" xr3:uid="{A1371E49-20E2-49B3-B11E-BEC9BE06E5C2}" name="Zdjęcie poglądowe" dataDxfId="136" totalsRowDxfId="40"/>
    <tableColumn id="8" xr3:uid="{B928A2C4-C41B-48E8-82DB-16E4A02E88E1}" name="ilość DOA" dataDxfId="135" totalsRowDxfId="39"/>
    <tableColumn id="9" xr3:uid="{C7CFCE7F-599F-4A63-A141-7AD48C397D5C}" name="ilość WOA" dataDxfId="134" totalsRowDxfId="38"/>
    <tableColumn id="15" xr3:uid="{30437BB5-3F72-4DB8-B4D7-8B087F26A65D}" name="łączna ilość" dataDxfId="133" totalsRowDxfId="37">
      <calculatedColumnFormula>Tabela22456[[#This Row],[ilość DOA]]+Tabela22456[[#This Row],[ilość WOA]]</calculatedColumnFormula>
    </tableColumn>
    <tableColumn id="11" xr3:uid="{38FBFAA5-0BED-4440-987D-1A85E4FFB667}" name="szacunkowa cena jednostkowa netto" dataDxfId="132" totalsRowDxfId="36"/>
    <tableColumn id="22" xr3:uid="{7D846A02-B581-49B4-BC3C-CA913C2DF7EF}" name="szacunkowa wartość netto " totalsRowFunction="sum" dataDxfId="131" totalsRowDxfId="35">
      <calculatedColumnFormula>Tabela22456[[#This Row],[szacunkowa cena jednostkowa netto]]*Tabela22456[[#This Row],[łączna ilość]]</calculatedColumnFormula>
    </tableColumn>
    <tableColumn id="23" xr3:uid="{D749C26A-BA9F-43DB-95EF-6881E7EABEAE}" name="szacunkowa wartość brutto" totalsRowFunction="sum" dataDxfId="130" totalsRowDxfId="34">
      <calculatedColumnFormula>Tabela22456[[#This Row],[łączna ilość]]*Tabela22456[[#This Row],[szacunkowa cena jednostkowa netto]]*1.23</calculatedColumnFormula>
    </tableColumn>
    <tableColumn id="12" xr3:uid="{B2446F6C-3676-484B-939B-12DFDDED2CC8}" name="bużet DOA netto" totalsRowFunction="sum" dataDxfId="129" totalsRowDxfId="33">
      <calculatedColumnFormula>Tabela22456[[#This Row],[szacunkowa wartość netto ]]</calculatedColumnFormula>
    </tableColumn>
    <tableColumn id="21" xr3:uid="{A1BF9A09-BA88-4F43-A477-988BE339A23B}" name="budżet DOA brutto" totalsRowFunction="sum" dataDxfId="128" totalsRowDxfId="32">
      <calculatedColumnFormula>Tabela22456[[#This Row],[bużet DOA netto]]*1.23</calculatedColumnFormula>
    </tableColumn>
    <tableColumn id="20" xr3:uid="{8A62D1B8-578C-4EB6-AE3C-67399F35B920}" name="budżet WOA netto " totalsRowFunction="sum" dataDxfId="127" totalsRowDxfId="31">
      <calculatedColumnFormula>Tabela22456[[#This Row],[szacunkowa cena jednostkowa netto]]*Tabela22456[[#This Row],[łączna ilość]]</calculatedColumnFormula>
    </tableColumn>
    <tableColumn id="19" xr3:uid="{1929BF94-ADB9-4EFD-B952-D79F9087A738}" name="Budżet WOA brutto" totalsRowFunction="sum" dataDxfId="126" totalsRowDxfId="30">
      <calculatedColumnFormula>Tabela22456[[#This Row],[budżet WOA netto ]]*1.23</calculatedColumnFormula>
    </tableColumn>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3DDE68F3-238E-4A6A-8E79-B4B041207A65}" name="Tabela224567" displayName="Tabela224567" ref="A1:O4" totalsRowCount="1" headerRowDxfId="125" dataDxfId="124" totalsRowDxfId="123">
  <autoFilter ref="A1:O3" xr:uid="{00000000-0009-0000-0100-000002000000}"/>
  <tableColumns count="15">
    <tableColumn id="1" xr3:uid="{1A71149D-2658-4ED7-9159-0F3570A22B39}" name="L.p." dataDxfId="122" totalsRowDxfId="29"/>
    <tableColumn id="2" xr3:uid="{1B860AAF-738C-4249-976A-609027E19B28}" name="Nazwa" dataDxfId="121" totalsRowDxfId="28"/>
    <tableColumn id="3" xr3:uid="{5B73D21F-3E4B-47EC-B66E-CEE3D194A33C}" name="DZIAŁ / adres dostawy" dataDxfId="120" totalsRowDxfId="27"/>
    <tableColumn id="5" xr3:uid="{3B6B80C7-D1C6-4C6B-B46A-DDEFC9BD0AFB}" name="opis przedmiotu" dataDxfId="119" totalsRowDxfId="26"/>
    <tableColumn id="6" xr3:uid="{6AE7D686-70E5-450C-9F43-ACACA0405A94}" name="Zdjęcie poglądowe" dataDxfId="118" totalsRowDxfId="25"/>
    <tableColumn id="8" xr3:uid="{C48EFDA3-6CE5-444F-A1B1-BC8706ADCCF4}" name="ilość DOA" dataDxfId="117" totalsRowDxfId="24"/>
    <tableColumn id="9" xr3:uid="{6FD910C4-F32C-44AA-BDF7-D7D26007EA08}" name="ilość WOA" dataDxfId="116" totalsRowDxfId="23"/>
    <tableColumn id="15" xr3:uid="{D42B6235-825C-4B56-B914-86B6DA656298}" name="łączna ilość" dataDxfId="115" totalsRowDxfId="22">
      <calculatedColumnFormula>#REF!+#REF!</calculatedColumnFormula>
    </tableColumn>
    <tableColumn id="11" xr3:uid="{37527C61-1BF7-4AAA-B048-CA7FA65A7742}" name="szacunkowa cena jednostkowa netto" dataDxfId="114" totalsRowDxfId="21"/>
    <tableColumn id="22" xr3:uid="{B064E575-08D7-41D3-9E52-74068FCE2553}" name="szacunkowa wartość netto " totalsRowFunction="sum" dataDxfId="113" totalsRowDxfId="20">
      <calculatedColumnFormula>Tabela224567[[#This Row],[szacunkowa cena jednostkowa netto]]*Tabela224567[[#This Row],[łączna ilość]]</calculatedColumnFormula>
    </tableColumn>
    <tableColumn id="23" xr3:uid="{0B4FA178-03AC-4BA8-A631-3EAD160AD96F}" name="szacunkowa wartość brutto" totalsRowFunction="sum" dataDxfId="112" totalsRowDxfId="19">
      <calculatedColumnFormula>Tabela224567[[#This Row],[szacunkowa cena jednostkowa netto]]*Tabela224567[[#This Row],[łączna ilość]]*1.23</calculatedColumnFormula>
    </tableColumn>
    <tableColumn id="12" xr3:uid="{233472A1-1803-45B5-B849-09E24A69A306}" name="bużet DOA netto" totalsRowFunction="sum" dataDxfId="111" totalsRowDxfId="18">
      <calculatedColumnFormula>Tabela224567[[#This Row],[szacunkowa wartość netto ]]</calculatedColumnFormula>
    </tableColumn>
    <tableColumn id="21" xr3:uid="{B661E0F3-ABB1-442D-B1C0-29F3A5FC4736}" name="budżet DOA brutto" totalsRowFunction="sum" dataDxfId="110" totalsRowDxfId="17">
      <calculatedColumnFormula>#REF!*1.23</calculatedColumnFormula>
    </tableColumn>
    <tableColumn id="20" xr3:uid="{32309808-7BA2-4D1C-B5F5-5EE9987707D8}" name="budżet WOA netto " totalsRowFunction="sum" dataDxfId="109" totalsRowDxfId="16">
      <calculatedColumnFormula>Tabela224567[[#This Row],[szacunkowa cena jednostkowa netto]]*Tabela224567[[#This Row],[łączna ilość]]</calculatedColumnFormula>
    </tableColumn>
    <tableColumn id="19" xr3:uid="{75BE9F6A-D4F2-470F-A5B0-423CE5B3022A}" name="Budżet WOA brutto" totalsRowFunction="sum" dataDxfId="108" totalsRowDxfId="15">
      <calculatedColumnFormula>Tabela224567[[#This Row],[szacunkowa wartość brutto]]</calculatedColumnFormula>
    </tableColumn>
  </tableColumns>
  <tableStyleInfo name="TableStyleMedium2"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3D05AA44-0838-49C1-B614-2908B02BEA45}" name="Tabela2245678" displayName="Tabela2245678" ref="A1:O4" totalsRowCount="1" headerRowDxfId="107" dataDxfId="106" totalsRowDxfId="105">
  <autoFilter ref="A1:O3" xr:uid="{00000000-0009-0000-0100-000002000000}"/>
  <tableColumns count="15">
    <tableColumn id="1" xr3:uid="{4AE4D9A7-2F4B-418D-BF7A-6846D983D265}" name="L.p." dataDxfId="104" totalsRowDxfId="14"/>
    <tableColumn id="2" xr3:uid="{DFDA2206-AC82-4216-B9FB-2C4E29073D02}" name="Nazwa" dataDxfId="103" totalsRowDxfId="13"/>
    <tableColumn id="3" xr3:uid="{8F616C8A-A4DE-4D4F-B79A-D07883213949}" name="DZIAŁ / adres dostawy" dataDxfId="102" totalsRowDxfId="12"/>
    <tableColumn id="5" xr3:uid="{49F548A9-B636-47F5-ACC9-6BA7C6193B13}" name="opis przedmiotu" dataDxfId="101" totalsRowDxfId="11"/>
    <tableColumn id="6" xr3:uid="{2E23B9AE-5457-4AAF-8372-72CA363F5D17}" name="Zdjęcie poglądowe" dataDxfId="100" totalsRowDxfId="10"/>
    <tableColumn id="8" xr3:uid="{4C310398-FA62-4EC2-B7B6-F9B23E23CE7E}" name="ilość DOA" dataDxfId="99" totalsRowDxfId="9"/>
    <tableColumn id="9" xr3:uid="{9FF5C83B-1B31-4B25-9851-61AAF118BF89}" name="ilość WOA" dataDxfId="98" totalsRowDxfId="8"/>
    <tableColumn id="15" xr3:uid="{A651D6EF-4587-4DF0-AC22-8AE8E3292535}" name="łączna ilość" dataDxfId="97" totalsRowDxfId="7">
      <calculatedColumnFormula>Tabela2245678[[#This Row],[ilość DOA]]+Tabela2245678[[#This Row],[ilość WOA]]</calculatedColumnFormula>
    </tableColumn>
    <tableColumn id="11" xr3:uid="{F1F90D32-8351-4002-AD98-C7C385032A0D}" name="szacunkowa cena jednostkowa netto" dataDxfId="96" totalsRowDxfId="6"/>
    <tableColumn id="22" xr3:uid="{2E362739-1D08-465F-A5AA-126DB5650B3D}" name="szacunkowa wartość netto " totalsRowFunction="sum" dataDxfId="95" totalsRowDxfId="5">
      <calculatedColumnFormula>Tabela2245678[[#This Row],[szacunkowa cena jednostkowa netto]]*Tabela2245678[[#This Row],[łączna ilość]]</calculatedColumnFormula>
    </tableColumn>
    <tableColumn id="23" xr3:uid="{AB3BEE66-6283-42BD-86D3-512A33EB2C0F}" name="szacunkowa wartość brutto" totalsRowFunction="sum" dataDxfId="94" totalsRowDxfId="4">
      <calculatedColumnFormula>Tabela2245678[[#This Row],[łączna ilość]]*Tabela2245678[[#This Row],[szacunkowa cena jednostkowa netto]]*1.23</calculatedColumnFormula>
    </tableColumn>
    <tableColumn id="12" xr3:uid="{070A0461-028D-4BFF-9A55-D71A115AF78A}" name="bużet DOA netto" totalsRowFunction="sum" dataDxfId="93" totalsRowDxfId="3">
      <calculatedColumnFormula>Tabela2245678[[#This Row],[szacunkowa cena jednostkowa netto]]*Tabela2245678[[#This Row],[łączna ilość]]</calculatedColumnFormula>
    </tableColumn>
    <tableColumn id="21" xr3:uid="{AE7DF95F-E29F-4AF2-92E4-AC62995BCD8D}" name="budżet DOA brutto" totalsRowFunction="sum" dataDxfId="92" totalsRowDxfId="2">
      <calculatedColumnFormula>Tabela2245678[[#This Row],[bużet DOA netto]]*1.23</calculatedColumnFormula>
    </tableColumn>
    <tableColumn id="20" xr3:uid="{FAAF9C87-9A2F-49C8-AD09-F49F34DCC377}" name="budżet WOA netto " totalsRowFunction="sum" dataDxfId="91" totalsRowDxfId="1">
      <calculatedColumnFormula>Tabela2245678[[#This Row],[szacunkowa cena jednostkowa netto]]*Tabela2245678[[#This Row],[łączna ilość]]</calculatedColumnFormula>
    </tableColumn>
    <tableColumn id="19" xr3:uid="{CF09C5CD-0BD9-45DB-8E5C-40E195B0927F}" name="Budżet WOA brutto" totalsRowFunction="sum" dataDxfId="90" totalsRowDxfId="0">
      <calculatedColumnFormula>Tabela2245678[[#This Row],[budżet WOA netto ]]*1.23</calculatedColumnFormula>
    </tableColumn>
  </tableColumns>
  <tableStyleInfo name="TableStyleMedium2" showFirstColumn="0" showLastColumn="0" showRowStripes="1" showColumnStripes="0"/>
</table>
</file>

<file path=xl/theme/theme1.xml><?xml version="1.0" encoding="utf-8"?>
<a:theme xmlns:a="http://schemas.openxmlformats.org/drawingml/2006/main" name="Motyw pakietu Office">
  <a:themeElements>
    <a:clrScheme name="Pakiet 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Pakiet 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Pakiet 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table" Target="../tables/table4.x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table" Target="../tables/table6.xml"/><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5E3E27-5760-463E-8090-330B74F515AB}">
  <sheetPr>
    <pageSetUpPr fitToPage="1"/>
  </sheetPr>
  <dimension ref="A1:O6"/>
  <sheetViews>
    <sheetView zoomScale="80" zoomScaleNormal="80" workbookViewId="0">
      <pane ySplit="1" topLeftCell="A2" activePane="bottomLeft" state="frozen"/>
      <selection pane="bottomLeft" activeCell="I2" sqref="I2:I4"/>
    </sheetView>
  </sheetViews>
  <sheetFormatPr defaultRowHeight="15" x14ac:dyDescent="0.25"/>
  <cols>
    <col min="1" max="1" width="4.140625" customWidth="1"/>
    <col min="2" max="2" width="15.28515625" customWidth="1"/>
    <col min="3" max="3" width="19.85546875" style="2" customWidth="1"/>
    <col min="4" max="4" width="51" customWidth="1"/>
    <col min="5" max="5" width="50.28515625" customWidth="1"/>
    <col min="6" max="8" width="17.140625" customWidth="1"/>
    <col min="9" max="11" width="17.140625" style="7" customWidth="1"/>
    <col min="12" max="14" width="17.140625" style="3" customWidth="1"/>
    <col min="15" max="15" width="17.140625" customWidth="1"/>
  </cols>
  <sheetData>
    <row r="1" spans="1:15" s="1" customFormat="1" ht="45" x14ac:dyDescent="0.25">
      <c r="A1" s="5" t="s">
        <v>1</v>
      </c>
      <c r="B1" s="5" t="s">
        <v>0</v>
      </c>
      <c r="C1" s="6" t="s">
        <v>36</v>
      </c>
      <c r="D1" s="5" t="s">
        <v>2</v>
      </c>
      <c r="E1" s="5" t="s">
        <v>3</v>
      </c>
      <c r="F1" s="5" t="s">
        <v>13</v>
      </c>
      <c r="G1" s="5" t="s">
        <v>14</v>
      </c>
      <c r="H1" s="5" t="s">
        <v>15</v>
      </c>
      <c r="I1" s="10" t="s">
        <v>16</v>
      </c>
      <c r="J1" s="12" t="s">
        <v>17</v>
      </c>
      <c r="K1" s="11" t="s">
        <v>28</v>
      </c>
      <c r="L1" s="4" t="s">
        <v>18</v>
      </c>
      <c r="M1" s="4" t="s">
        <v>19</v>
      </c>
      <c r="N1" s="4" t="s">
        <v>20</v>
      </c>
      <c r="O1" s="4" t="s">
        <v>21</v>
      </c>
    </row>
    <row r="2" spans="1:15" s="19" customFormat="1" ht="240" x14ac:dyDescent="0.25">
      <c r="A2" s="13">
        <v>1</v>
      </c>
      <c r="B2" s="14" t="s">
        <v>7</v>
      </c>
      <c r="C2" s="15" t="s">
        <v>37</v>
      </c>
      <c r="D2" s="16" t="s">
        <v>33</v>
      </c>
      <c r="E2" s="13"/>
      <c r="F2" s="13">
        <v>2</v>
      </c>
      <c r="G2" s="13"/>
      <c r="H2" s="38">
        <f>Tabela22[[#This Row],[ilość DOA]]+Tabela22[[#This Row],[ilość WOA]]</f>
        <v>2</v>
      </c>
      <c r="I2" s="39"/>
      <c r="J2" s="17">
        <f>Tabela22[[#This Row],[szacunkowa cena jednostkowa netto]]*Tabela22[[#This Row],[łączna ilość]]</f>
        <v>0</v>
      </c>
      <c r="K2" s="17">
        <f>Tabela22[[#This Row],[łączna ilość]]*Tabela22[[#This Row],[szacunkowa cena jednostkowa netto]]*1.23</f>
        <v>0</v>
      </c>
      <c r="L2" s="18">
        <f>Tabela22[[#This Row],[szacunkowa cena jednostkowa netto]]*Tabela22[[#This Row],[łączna ilość]]</f>
        <v>0</v>
      </c>
      <c r="M2" s="18">
        <f>Tabela22[[#This Row],[bużet DOA netto]]*1.23</f>
        <v>0</v>
      </c>
      <c r="N2" s="18"/>
      <c r="O2" s="18">
        <f>Tabela22[[#This Row],[budżet WOA netto ]]*1.23</f>
        <v>0</v>
      </c>
    </row>
    <row r="3" spans="1:15" s="19" customFormat="1" ht="195" x14ac:dyDescent="0.25">
      <c r="A3" s="13">
        <v>2</v>
      </c>
      <c r="B3" s="14" t="s">
        <v>4</v>
      </c>
      <c r="C3" s="15" t="s">
        <v>38</v>
      </c>
      <c r="D3" s="20" t="s">
        <v>34</v>
      </c>
      <c r="E3" s="13"/>
      <c r="F3" s="13">
        <v>1</v>
      </c>
      <c r="G3" s="13"/>
      <c r="H3" s="38">
        <f>Tabela22[[#This Row],[ilość DOA]]+Tabela22[[#This Row],[ilość WOA]]</f>
        <v>1</v>
      </c>
      <c r="I3" s="40"/>
      <c r="J3" s="21">
        <f>Tabela22[[#This Row],[szacunkowa cena jednostkowa netto]]*Tabela22[[#This Row],[łączna ilość]]</f>
        <v>0</v>
      </c>
      <c r="K3" s="21">
        <f>Tabela22[[#This Row],[łączna ilość]]*Tabela22[[#This Row],[szacunkowa cena jednostkowa netto]]*1.23</f>
        <v>0</v>
      </c>
      <c r="L3" s="18">
        <f>Tabela22[[#This Row],[szacunkowa cena jednostkowa netto]]*Tabela22[[#This Row],[łączna ilość]]</f>
        <v>0</v>
      </c>
      <c r="M3" s="18">
        <f>Tabela22[[#This Row],[bużet DOA netto]]*1.23</f>
        <v>0</v>
      </c>
      <c r="N3" s="18"/>
      <c r="O3" s="18">
        <f>Tabela22[[#This Row],[budżet WOA netto ]]*1.23</f>
        <v>0</v>
      </c>
    </row>
    <row r="4" spans="1:15" s="19" customFormat="1" ht="222" customHeight="1" x14ac:dyDescent="0.25">
      <c r="A4" s="13">
        <v>3</v>
      </c>
      <c r="B4" s="14" t="s">
        <v>10</v>
      </c>
      <c r="C4" s="15" t="s">
        <v>39</v>
      </c>
      <c r="D4" s="20" t="s">
        <v>6</v>
      </c>
      <c r="E4" s="13"/>
      <c r="F4" s="13">
        <v>2</v>
      </c>
      <c r="G4" s="13"/>
      <c r="H4" s="38">
        <f>Tabela22[[#This Row],[ilość DOA]]+Tabela22[[#This Row],[ilość WOA]]</f>
        <v>2</v>
      </c>
      <c r="I4" s="40"/>
      <c r="J4" s="21">
        <f>Tabela22[[#This Row],[szacunkowa cena jednostkowa netto]]*Tabela22[[#This Row],[łączna ilość]]</f>
        <v>0</v>
      </c>
      <c r="K4" s="21">
        <f>Tabela22[[#This Row],[łączna ilość]]*Tabela22[[#This Row],[szacunkowa cena jednostkowa netto]]*1.23</f>
        <v>0</v>
      </c>
      <c r="L4" s="18">
        <f>Tabela22[[#This Row],[szacunkowa cena jednostkowa netto]]*Tabela22[[#This Row],[łączna ilość]]</f>
        <v>0</v>
      </c>
      <c r="M4" s="18">
        <f>Tabela22[[#This Row],[bużet DOA netto]]*1.23</f>
        <v>0</v>
      </c>
      <c r="N4" s="18"/>
      <c r="O4" s="18">
        <f>Tabela22[[#This Row],[budżet WOA netto ]]*1.23</f>
        <v>0</v>
      </c>
    </row>
    <row r="5" spans="1:15" ht="75.75" customHeight="1" x14ac:dyDescent="0.25">
      <c r="A5" s="30"/>
      <c r="B5" s="31"/>
      <c r="C5" s="32"/>
      <c r="D5" s="33"/>
      <c r="E5" s="33"/>
      <c r="F5" s="33"/>
      <c r="G5" s="33"/>
      <c r="H5" s="33"/>
      <c r="I5" s="34"/>
      <c r="J5" s="35">
        <f>SUBTOTAL(109,Tabela22[[szacunkowa wartość netto ]])</f>
        <v>0</v>
      </c>
      <c r="K5" s="36">
        <f>SUBTOTAL(109,Tabela22[szacunkowa wartość brutto])</f>
        <v>0</v>
      </c>
      <c r="L5" s="37">
        <f>SUBTOTAL(109,Tabela22[bużet DOA netto])</f>
        <v>0</v>
      </c>
      <c r="M5" s="37">
        <f>SUBTOTAL(109,Tabela22[budżet DOA brutto])</f>
        <v>0</v>
      </c>
      <c r="N5" s="37">
        <f>SUBTOTAL(109,Tabela22[[budżet WOA netto ]])</f>
        <v>0</v>
      </c>
      <c r="O5" s="37">
        <f>SUBTOTAL(109,Tabela22[Budżet WOA brutto])</f>
        <v>0</v>
      </c>
    </row>
    <row r="6" spans="1:15" s="1" customFormat="1" x14ac:dyDescent="0.25">
      <c r="C6" s="2"/>
      <c r="I6" s="8"/>
      <c r="J6" s="8"/>
      <c r="K6" s="8"/>
      <c r="L6" s="9"/>
      <c r="M6" s="9"/>
      <c r="N6" s="9"/>
    </row>
  </sheetData>
  <pageMargins left="0.7" right="0.7" top="0.75" bottom="0.75" header="0.3" footer="0.3"/>
  <pageSetup paperSize="8" scale="42" orientation="portrait" r:id="rId1"/>
  <drawing r:id="rId2"/>
  <tableParts count="1">
    <tablePart r:id="rId3"/>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6974FA-5905-4BC9-8D5E-F1B5733A3DAE}">
  <sheetPr>
    <pageSetUpPr fitToPage="1"/>
  </sheetPr>
  <dimension ref="A1:O7"/>
  <sheetViews>
    <sheetView zoomScale="80" zoomScaleNormal="80" workbookViewId="0">
      <pane ySplit="1" topLeftCell="A3" activePane="bottomLeft" state="frozen"/>
      <selection pane="bottomLeft" activeCell="I2" sqref="I2:I5"/>
    </sheetView>
  </sheetViews>
  <sheetFormatPr defaultRowHeight="15" x14ac:dyDescent="0.25"/>
  <cols>
    <col min="1" max="1" width="4.140625" customWidth="1"/>
    <col min="2" max="2" width="15.28515625" customWidth="1"/>
    <col min="3" max="3" width="19.85546875" style="2" customWidth="1"/>
    <col min="4" max="4" width="51" customWidth="1"/>
    <col min="5" max="5" width="50.28515625" customWidth="1"/>
    <col min="6" max="8" width="17.140625" customWidth="1"/>
    <col min="9" max="11" width="17.140625" style="7" customWidth="1"/>
    <col min="12" max="14" width="17.140625" style="3" customWidth="1"/>
    <col min="15" max="15" width="17.140625" customWidth="1"/>
  </cols>
  <sheetData>
    <row r="1" spans="1:15" s="1" customFormat="1" ht="45" x14ac:dyDescent="0.25">
      <c r="A1" s="5" t="s">
        <v>1</v>
      </c>
      <c r="B1" s="5" t="s">
        <v>0</v>
      </c>
      <c r="C1" s="6" t="s">
        <v>36</v>
      </c>
      <c r="D1" s="5" t="s">
        <v>2</v>
      </c>
      <c r="E1" s="5" t="s">
        <v>3</v>
      </c>
      <c r="F1" s="5" t="s">
        <v>13</v>
      </c>
      <c r="G1" s="5" t="s">
        <v>14</v>
      </c>
      <c r="H1" s="5" t="s">
        <v>15</v>
      </c>
      <c r="I1" s="10" t="s">
        <v>16</v>
      </c>
      <c r="J1" s="12" t="s">
        <v>17</v>
      </c>
      <c r="K1" s="11" t="s">
        <v>28</v>
      </c>
      <c r="L1" s="4" t="s">
        <v>18</v>
      </c>
      <c r="M1" s="4" t="s">
        <v>19</v>
      </c>
      <c r="N1" s="4" t="s">
        <v>20</v>
      </c>
      <c r="O1" s="4" t="s">
        <v>21</v>
      </c>
    </row>
    <row r="2" spans="1:15" s="19" customFormat="1" ht="270" x14ac:dyDescent="0.25">
      <c r="A2" s="13">
        <v>1</v>
      </c>
      <c r="B2" s="14" t="s">
        <v>8</v>
      </c>
      <c r="C2" s="24" t="s">
        <v>43</v>
      </c>
      <c r="D2" s="22" t="s">
        <v>51</v>
      </c>
      <c r="F2" s="13">
        <v>16</v>
      </c>
      <c r="G2" s="13"/>
      <c r="H2" s="38">
        <f>Tabela224[[#This Row],[ilość DOA]]+Tabela224[[#This Row],[ilość WOA]]</f>
        <v>16</v>
      </c>
      <c r="I2" s="40"/>
      <c r="J2" s="21">
        <f>Tabela224[[#This Row],[szacunkowa cena jednostkowa netto]]*Tabela224[[#This Row],[łączna ilość]]</f>
        <v>0</v>
      </c>
      <c r="K2" s="21">
        <f>Tabela224[[#This Row],[łączna ilość]]*Tabela224[[#This Row],[szacunkowa cena jednostkowa netto]]*1.23</f>
        <v>0</v>
      </c>
      <c r="L2" s="18">
        <f>Tabela224[[#This Row],[szacunkowa cena jednostkowa netto]]*Tabela224[[#This Row],[łączna ilość]]</f>
        <v>0</v>
      </c>
      <c r="M2" s="18">
        <f>Tabela224[[#This Row],[bużet DOA netto]]*1.23</f>
        <v>0</v>
      </c>
      <c r="N2" s="18"/>
      <c r="O2" s="18">
        <f>Tabela224[[#This Row],[budżet WOA netto ]]*1.23</f>
        <v>0</v>
      </c>
    </row>
    <row r="3" spans="1:15" s="19" customFormat="1" ht="300.75" customHeight="1" x14ac:dyDescent="0.25">
      <c r="A3" s="13">
        <v>2</v>
      </c>
      <c r="B3" s="14" t="s">
        <v>25</v>
      </c>
      <c r="C3" s="24" t="s">
        <v>46</v>
      </c>
      <c r="D3" s="22" t="s">
        <v>26</v>
      </c>
      <c r="E3" s="22"/>
      <c r="F3" s="13">
        <v>10</v>
      </c>
      <c r="G3" s="13"/>
      <c r="H3" s="38">
        <f>Tabela224[[#This Row],[ilość DOA]]+Tabela224[[#This Row],[ilość WOA]]</f>
        <v>10</v>
      </c>
      <c r="I3" s="40"/>
      <c r="J3" s="21">
        <f>Tabela224[[#This Row],[szacunkowa cena jednostkowa netto]]*Tabela224[[#This Row],[łączna ilość]]</f>
        <v>0</v>
      </c>
      <c r="K3" s="21">
        <f>Tabela224[[#This Row],[łączna ilość]]*Tabela224[[#This Row],[szacunkowa cena jednostkowa netto]]*1.23</f>
        <v>0</v>
      </c>
      <c r="L3" s="18">
        <f>Tabela224[[#This Row],[szacunkowa cena jednostkowa netto]]*Tabela224[[#This Row],[łączna ilość]]</f>
        <v>0</v>
      </c>
      <c r="M3" s="18">
        <f>Tabela224[[#This Row],[bużet DOA netto]]*1.23</f>
        <v>0</v>
      </c>
      <c r="N3" s="18"/>
      <c r="O3" s="18">
        <f>Tabela224[[#This Row],[budżet WOA netto ]]*1.23</f>
        <v>0</v>
      </c>
    </row>
    <row r="4" spans="1:15" s="19" customFormat="1" ht="300.75" customHeight="1" x14ac:dyDescent="0.25">
      <c r="A4" s="44"/>
      <c r="B4" s="14" t="s">
        <v>53</v>
      </c>
      <c r="C4" s="24" t="s">
        <v>54</v>
      </c>
      <c r="D4" s="22" t="s">
        <v>55</v>
      </c>
      <c r="E4" s="22"/>
      <c r="F4" s="13">
        <v>20</v>
      </c>
      <c r="G4" s="13"/>
      <c r="H4" s="38">
        <v>20</v>
      </c>
      <c r="I4" s="45"/>
      <c r="J4" s="46">
        <f>Tabela224[[#This Row],[szacunkowa cena jednostkowa netto]]*Tabela224[[#This Row],[łączna ilość]]</f>
        <v>0</v>
      </c>
      <c r="K4" s="47">
        <f>Tabela224[[#This Row],[łączna ilość]]*Tabela224[[#This Row],[szacunkowa cena jednostkowa netto]]*1.23</f>
        <v>0</v>
      </c>
      <c r="L4" s="27">
        <f>Tabela224[[#This Row],[szacunkowa cena jednostkowa netto]]*Tabela224[[#This Row],[łączna ilość]]</f>
        <v>0</v>
      </c>
      <c r="M4" s="27">
        <f>Tabela224[[#This Row],[bużet DOA netto]]*1.23</f>
        <v>0</v>
      </c>
      <c r="N4" s="27"/>
      <c r="O4" s="27">
        <f>Tabela224[[#This Row],[budżet WOA netto ]]*1.23</f>
        <v>0</v>
      </c>
    </row>
    <row r="5" spans="1:15" s="19" customFormat="1" ht="300.75" customHeight="1" x14ac:dyDescent="0.25">
      <c r="A5" s="13">
        <v>3</v>
      </c>
      <c r="B5" s="14" t="s">
        <v>29</v>
      </c>
      <c r="C5" s="24" t="s">
        <v>46</v>
      </c>
      <c r="D5" s="22" t="s">
        <v>31</v>
      </c>
      <c r="F5" s="13">
        <v>30</v>
      </c>
      <c r="G5" s="13"/>
      <c r="H5" s="38">
        <f>Tabela224[[#This Row],[ilość DOA]]+Tabela224[[#This Row],[ilość WOA]]</f>
        <v>30</v>
      </c>
      <c r="I5" s="42"/>
      <c r="J5" s="21">
        <f>Tabela224[[#This Row],[szacunkowa cena jednostkowa netto]]*Tabela224[[#This Row],[łączna ilość]]</f>
        <v>0</v>
      </c>
      <c r="K5" s="21">
        <f>Tabela224[[#This Row],[łączna ilość]]*Tabela224[[#This Row],[szacunkowa cena jednostkowa netto]]*1.23</f>
        <v>0</v>
      </c>
      <c r="L5" s="27">
        <f>Tabela224[[#This Row],[szacunkowa cena jednostkowa netto]]*Tabela224[[#This Row],[łączna ilość]]</f>
        <v>0</v>
      </c>
      <c r="M5" s="27">
        <f>Tabela224[[#This Row],[bużet DOA netto]]*1.23</f>
        <v>0</v>
      </c>
      <c r="N5" s="27"/>
      <c r="O5" s="27">
        <f>Tabela224[[#This Row],[budżet WOA netto ]]*1.23</f>
        <v>0</v>
      </c>
    </row>
    <row r="6" spans="1:15" ht="75.75" customHeight="1" x14ac:dyDescent="0.25">
      <c r="A6" s="30"/>
      <c r="B6" s="31"/>
      <c r="C6" s="32"/>
      <c r="D6" s="33"/>
      <c r="E6" s="33"/>
      <c r="F6" s="33"/>
      <c r="G6" s="33"/>
      <c r="H6" s="33"/>
      <c r="I6" s="34"/>
      <c r="J6" s="35">
        <f>SUBTOTAL(109,Tabela224[[szacunkowa wartość netto ]])</f>
        <v>0</v>
      </c>
      <c r="K6" s="36">
        <f>SUBTOTAL(109,Tabela224[szacunkowa wartość brutto])</f>
        <v>0</v>
      </c>
      <c r="L6" s="37">
        <f>SUBTOTAL(109,Tabela224[bużet DOA netto])</f>
        <v>0</v>
      </c>
      <c r="M6" s="37">
        <f>SUBTOTAL(109,Tabela224[budżet DOA brutto])</f>
        <v>0</v>
      </c>
      <c r="N6" s="37">
        <f>SUBTOTAL(109,Tabela224[[budżet WOA netto ]])</f>
        <v>0</v>
      </c>
      <c r="O6" s="37">
        <f>SUBTOTAL(109,Tabela224[Budżet WOA brutto])</f>
        <v>0</v>
      </c>
    </row>
    <row r="7" spans="1:15" s="1" customFormat="1" x14ac:dyDescent="0.25">
      <c r="C7" s="2"/>
      <c r="I7" s="8"/>
      <c r="J7" s="8"/>
      <c r="K7" s="8"/>
      <c r="L7" s="9"/>
      <c r="M7" s="9"/>
      <c r="N7" s="9"/>
    </row>
  </sheetData>
  <pageMargins left="0.7" right="0.7" top="0.75" bottom="0.75" header="0.3" footer="0.3"/>
  <pageSetup paperSize="8" scale="42" orientation="portrait" r:id="rId1"/>
  <drawing r:id="rId2"/>
  <tableParts count="1">
    <tablePart r:id="rId3"/>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B44472-6F33-41CA-9827-9E1C6CFE7FB5}">
  <sheetPr>
    <pageSetUpPr fitToPage="1"/>
  </sheetPr>
  <dimension ref="A1:O5"/>
  <sheetViews>
    <sheetView zoomScale="80" zoomScaleNormal="80" workbookViewId="0">
      <pane ySplit="1" topLeftCell="A2" activePane="bottomLeft" state="frozen"/>
      <selection pane="bottomLeft" activeCell="I3" sqref="I2:I3"/>
    </sheetView>
  </sheetViews>
  <sheetFormatPr defaultRowHeight="15" x14ac:dyDescent="0.25"/>
  <cols>
    <col min="1" max="1" width="4.140625" customWidth="1"/>
    <col min="2" max="2" width="15.28515625" customWidth="1"/>
    <col min="3" max="3" width="19.85546875" style="2" customWidth="1"/>
    <col min="4" max="4" width="51" customWidth="1"/>
    <col min="5" max="5" width="50.28515625" customWidth="1"/>
    <col min="6" max="8" width="17.140625" customWidth="1"/>
    <col min="9" max="11" width="17.140625" style="7" customWidth="1"/>
    <col min="12" max="14" width="17.140625" style="3" customWidth="1"/>
    <col min="15" max="15" width="17.140625" customWidth="1"/>
  </cols>
  <sheetData>
    <row r="1" spans="1:15" s="1" customFormat="1" ht="45" x14ac:dyDescent="0.25">
      <c r="A1" s="5" t="s">
        <v>1</v>
      </c>
      <c r="B1" s="5" t="s">
        <v>0</v>
      </c>
      <c r="C1" s="6" t="s">
        <v>36</v>
      </c>
      <c r="D1" s="5" t="s">
        <v>2</v>
      </c>
      <c r="E1" s="5" t="s">
        <v>3</v>
      </c>
      <c r="F1" s="5" t="s">
        <v>13</v>
      </c>
      <c r="G1" s="5" t="s">
        <v>14</v>
      </c>
      <c r="H1" s="5" t="s">
        <v>15</v>
      </c>
      <c r="I1" s="10" t="s">
        <v>16</v>
      </c>
      <c r="J1" s="12" t="s">
        <v>17</v>
      </c>
      <c r="K1" s="11" t="s">
        <v>28</v>
      </c>
      <c r="L1" s="4" t="s">
        <v>18</v>
      </c>
      <c r="M1" s="4" t="s">
        <v>19</v>
      </c>
      <c r="N1" s="4" t="s">
        <v>20</v>
      </c>
      <c r="O1" s="4" t="s">
        <v>21</v>
      </c>
    </row>
    <row r="2" spans="1:15" s="19" customFormat="1" ht="224.25" customHeight="1" x14ac:dyDescent="0.25">
      <c r="A2" s="13">
        <v>9</v>
      </c>
      <c r="B2" s="14" t="s">
        <v>11</v>
      </c>
      <c r="C2" s="24" t="s">
        <v>44</v>
      </c>
      <c r="D2" s="25" t="s">
        <v>24</v>
      </c>
      <c r="E2" s="13"/>
      <c r="F2" s="13"/>
      <c r="G2" s="13">
        <v>2</v>
      </c>
      <c r="H2" s="38">
        <f>Tabela2245[[#This Row],[ilość DOA]]+Tabela2245[[#This Row],[ilość WOA]]</f>
        <v>2</v>
      </c>
      <c r="I2" s="40"/>
      <c r="J2" s="21">
        <f>Tabela2245[[#This Row],[szacunkowa cena jednostkowa netto]]*Tabela2245[[#This Row],[łączna ilość]]</f>
        <v>0</v>
      </c>
      <c r="K2" s="21">
        <f>Tabela2245[[#This Row],[łączna ilość]]*Tabela2245[[#This Row],[szacunkowa cena jednostkowa netto]]*1.23</f>
        <v>0</v>
      </c>
      <c r="L2" s="18"/>
      <c r="M2" s="18">
        <f>Tabela2245[[#This Row],[bużet DOA netto]]*1.23</f>
        <v>0</v>
      </c>
      <c r="N2" s="18">
        <f>Tabela2245[[#This Row],[szacunkowa cena jednostkowa netto]]*Tabela2245[[#This Row],[łączna ilość]]</f>
        <v>0</v>
      </c>
      <c r="O2" s="18">
        <f>Tabela2245[[#This Row],[budżet WOA netto ]]*1.23</f>
        <v>0</v>
      </c>
    </row>
    <row r="3" spans="1:15" s="19" customFormat="1" ht="237.75" customHeight="1" x14ac:dyDescent="0.25">
      <c r="A3" s="13">
        <v>13</v>
      </c>
      <c r="B3" s="14" t="s">
        <v>30</v>
      </c>
      <c r="C3" s="24" t="s">
        <v>47</v>
      </c>
      <c r="D3" s="22" t="s">
        <v>50</v>
      </c>
      <c r="F3" s="13">
        <v>10</v>
      </c>
      <c r="G3" s="13"/>
      <c r="H3" s="38">
        <f>Tabela2245[[#This Row],[ilość DOA]]+Tabela2245[[#This Row],[ilość WOA]]</f>
        <v>10</v>
      </c>
      <c r="I3" s="42"/>
      <c r="J3" s="21">
        <f>Tabela2245[[#This Row],[szacunkowa cena jednostkowa netto]]*Tabela2245[[#This Row],[łączna ilość]]</f>
        <v>0</v>
      </c>
      <c r="K3" s="21">
        <f>Tabela2245[[#This Row],[łączna ilość]]*Tabela2245[[#This Row],[szacunkowa cena jednostkowa netto]]*1.23</f>
        <v>0</v>
      </c>
      <c r="L3" s="27">
        <f>Tabela2245[[#This Row],[szacunkowa cena jednostkowa netto]]*Tabela2245[[#This Row],[łączna ilość]]</f>
        <v>0</v>
      </c>
      <c r="M3" s="27">
        <f>Tabela2245[[#This Row],[bużet DOA netto]]*1.23</f>
        <v>0</v>
      </c>
      <c r="N3" s="27"/>
      <c r="O3" s="27">
        <f>Tabela2245[[#This Row],[budżet WOA netto ]]*1.23</f>
        <v>0</v>
      </c>
    </row>
    <row r="4" spans="1:15" ht="75.75" customHeight="1" x14ac:dyDescent="0.25">
      <c r="A4" s="30"/>
      <c r="B4" s="31"/>
      <c r="C4" s="32"/>
      <c r="D4" s="33"/>
      <c r="E4" s="33"/>
      <c r="F4" s="33"/>
      <c r="G4" s="33"/>
      <c r="H4" s="33"/>
      <c r="I4" s="34"/>
      <c r="J4" s="35">
        <f>SUBTOTAL(109,Tabela2245[[szacunkowa wartość netto ]])</f>
        <v>0</v>
      </c>
      <c r="K4" s="36">
        <f>SUBTOTAL(109,Tabela2245[szacunkowa wartość brutto])</f>
        <v>0</v>
      </c>
      <c r="L4" s="37">
        <f>SUBTOTAL(109,Tabela2245[bużet DOA netto])</f>
        <v>0</v>
      </c>
      <c r="M4" s="37">
        <f>SUBTOTAL(109,Tabela2245[budżet DOA brutto])</f>
        <v>0</v>
      </c>
      <c r="N4" s="37">
        <f>SUBTOTAL(109,Tabela2245[[budżet WOA netto ]])</f>
        <v>0</v>
      </c>
      <c r="O4" s="37">
        <f>SUBTOTAL(109,Tabela2245[Budżet WOA brutto])</f>
        <v>0</v>
      </c>
    </row>
    <row r="5" spans="1:15" s="1" customFormat="1" x14ac:dyDescent="0.25">
      <c r="C5" s="2"/>
      <c r="I5" s="8"/>
      <c r="J5" s="8"/>
      <c r="K5" s="8"/>
      <c r="L5" s="9"/>
      <c r="M5" s="9"/>
      <c r="N5" s="9"/>
    </row>
  </sheetData>
  <pageMargins left="0.7" right="0.7" top="0.75" bottom="0.75" header="0.3" footer="0.3"/>
  <pageSetup paperSize="8" scale="42" orientation="portrait" r:id="rId1"/>
  <drawing r:id="rId2"/>
  <tableParts count="1">
    <tablePart r:id="rId3"/>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502570-58D7-4405-BA35-0FFCE19EB7F2}">
  <sheetPr>
    <pageSetUpPr fitToPage="1"/>
  </sheetPr>
  <dimension ref="A1:O5"/>
  <sheetViews>
    <sheetView zoomScale="80" zoomScaleNormal="80" workbookViewId="0">
      <pane ySplit="1" topLeftCell="A2" activePane="bottomLeft" state="frozen"/>
      <selection pane="bottomLeft" activeCell="I3" sqref="I2:I3"/>
    </sheetView>
  </sheetViews>
  <sheetFormatPr defaultRowHeight="15" x14ac:dyDescent="0.25"/>
  <cols>
    <col min="1" max="1" width="4.140625" customWidth="1"/>
    <col min="2" max="2" width="15.28515625" customWidth="1"/>
    <col min="3" max="3" width="19.85546875" style="2" customWidth="1"/>
    <col min="4" max="4" width="51" customWidth="1"/>
    <col min="5" max="5" width="50.28515625" customWidth="1"/>
    <col min="6" max="8" width="17.140625" customWidth="1"/>
    <col min="9" max="11" width="17.140625" style="7" customWidth="1"/>
    <col min="12" max="14" width="17.140625" style="3" customWidth="1"/>
    <col min="15" max="15" width="17.140625" customWidth="1"/>
  </cols>
  <sheetData>
    <row r="1" spans="1:15" s="1" customFormat="1" ht="45" x14ac:dyDescent="0.25">
      <c r="A1" s="5" t="s">
        <v>1</v>
      </c>
      <c r="B1" s="5" t="s">
        <v>0</v>
      </c>
      <c r="C1" s="6" t="s">
        <v>36</v>
      </c>
      <c r="D1" s="5" t="s">
        <v>2</v>
      </c>
      <c r="E1" s="5" t="s">
        <v>3</v>
      </c>
      <c r="F1" s="5" t="s">
        <v>13</v>
      </c>
      <c r="G1" s="5" t="s">
        <v>14</v>
      </c>
      <c r="H1" s="5" t="s">
        <v>15</v>
      </c>
      <c r="I1" s="10" t="s">
        <v>16</v>
      </c>
      <c r="J1" s="12" t="s">
        <v>17</v>
      </c>
      <c r="K1" s="11" t="s">
        <v>28</v>
      </c>
      <c r="L1" s="4" t="s">
        <v>18</v>
      </c>
      <c r="M1" s="4" t="s">
        <v>19</v>
      </c>
      <c r="N1" s="4" t="s">
        <v>20</v>
      </c>
      <c r="O1" s="4" t="s">
        <v>21</v>
      </c>
    </row>
    <row r="2" spans="1:15" s="19" customFormat="1" ht="165" x14ac:dyDescent="0.25">
      <c r="A2" s="13">
        <v>5</v>
      </c>
      <c r="B2" s="14" t="s">
        <v>5</v>
      </c>
      <c r="C2" s="15" t="s">
        <v>40</v>
      </c>
      <c r="D2" s="22" t="s">
        <v>32</v>
      </c>
      <c r="E2" s="13"/>
      <c r="F2" s="13">
        <v>1</v>
      </c>
      <c r="G2" s="13"/>
      <c r="H2" s="38">
        <f>Tabela22456[[#This Row],[ilość DOA]]+Tabela22456[[#This Row],[ilość WOA]]</f>
        <v>1</v>
      </c>
      <c r="I2" s="40"/>
      <c r="J2" s="21">
        <f>Tabela22456[[#This Row],[szacunkowa cena jednostkowa netto]]*Tabela22456[[#This Row],[łączna ilość]]</f>
        <v>0</v>
      </c>
      <c r="K2" s="21">
        <f>Tabela22456[[#This Row],[łączna ilość]]*Tabela22456[[#This Row],[szacunkowa cena jednostkowa netto]]*1.23</f>
        <v>0</v>
      </c>
      <c r="L2" s="18">
        <f>Tabela22456[[#This Row],[szacunkowa wartość netto ]]</f>
        <v>0</v>
      </c>
      <c r="M2" s="18">
        <f>Tabela22456[[#This Row],[bużet DOA netto]]*1.23</f>
        <v>0</v>
      </c>
      <c r="N2" s="18"/>
      <c r="O2" s="18">
        <f>Tabela22456[[#This Row],[budżet WOA netto ]]*1.23</f>
        <v>0</v>
      </c>
    </row>
    <row r="3" spans="1:15" s="19" customFormat="1" ht="210" x14ac:dyDescent="0.25">
      <c r="A3" s="13">
        <v>10</v>
      </c>
      <c r="B3" s="14" t="s">
        <v>23</v>
      </c>
      <c r="C3" s="24" t="s">
        <v>45</v>
      </c>
      <c r="D3" s="22" t="s">
        <v>22</v>
      </c>
      <c r="E3" s="22"/>
      <c r="F3" s="13">
        <v>1</v>
      </c>
      <c r="G3" s="13"/>
      <c r="H3" s="38">
        <f>Tabela22456[[#This Row],[ilość DOA]]+Tabela22456[[#This Row],[ilość WOA]]</f>
        <v>1</v>
      </c>
      <c r="I3" s="41"/>
      <c r="J3" s="21">
        <f>Tabela22456[[#This Row],[szacunkowa cena jednostkowa netto]]*Tabela22456[[#This Row],[łączna ilość]]</f>
        <v>0</v>
      </c>
      <c r="K3" s="26">
        <f>Tabela22456[[#This Row],[łączna ilość]]*Tabela22456[[#This Row],[szacunkowa cena jednostkowa netto]]*1.23</f>
        <v>0</v>
      </c>
      <c r="L3" s="18">
        <f>Tabela22456[[#This Row],[szacunkowa wartość netto ]]</f>
        <v>0</v>
      </c>
      <c r="M3" s="18">
        <f>Tabela22456[[#This Row],[bużet DOA netto]]*1.23</f>
        <v>0</v>
      </c>
      <c r="N3" s="18"/>
      <c r="O3" s="18">
        <f>Tabela22456[[#This Row],[budżet WOA netto ]]*1.23</f>
        <v>0</v>
      </c>
    </row>
    <row r="4" spans="1:15" ht="75.75" customHeight="1" x14ac:dyDescent="0.25">
      <c r="A4" s="30"/>
      <c r="B4" s="31"/>
      <c r="C4" s="32"/>
      <c r="D4" s="33"/>
      <c r="E4" s="33"/>
      <c r="F4" s="33"/>
      <c r="G4" s="33"/>
      <c r="H4" s="33"/>
      <c r="I4" s="34"/>
      <c r="J4" s="35">
        <f>SUBTOTAL(109,Tabela22456[[szacunkowa wartość netto ]])</f>
        <v>0</v>
      </c>
      <c r="K4" s="36">
        <f>SUBTOTAL(109,Tabela22456[szacunkowa wartość brutto])</f>
        <v>0</v>
      </c>
      <c r="L4" s="37">
        <f>SUBTOTAL(109,Tabela22456[bużet DOA netto])</f>
        <v>0</v>
      </c>
      <c r="M4" s="37">
        <f>SUBTOTAL(109,Tabela22456[budżet DOA brutto])</f>
        <v>0</v>
      </c>
      <c r="N4" s="37">
        <f>SUBTOTAL(109,Tabela22456[[budżet WOA netto ]])</f>
        <v>0</v>
      </c>
      <c r="O4" s="37">
        <f>SUBTOTAL(109,Tabela22456[Budżet WOA brutto])</f>
        <v>0</v>
      </c>
    </row>
    <row r="5" spans="1:15" s="1" customFormat="1" x14ac:dyDescent="0.25">
      <c r="C5" s="2"/>
      <c r="I5" s="8"/>
      <c r="J5" s="8"/>
      <c r="K5" s="8"/>
      <c r="L5" s="9"/>
      <c r="M5" s="9"/>
      <c r="N5" s="9"/>
    </row>
  </sheetData>
  <pageMargins left="0.7" right="0.7" top="0.75" bottom="0.75" header="0.3" footer="0.3"/>
  <pageSetup paperSize="8" scale="42" orientation="portrait" r:id="rId1"/>
  <drawing r:id="rId2"/>
  <tableParts count="1">
    <tablePart r:id="rId3"/>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FEF69-093B-412B-A9EB-33C2B0682273}">
  <sheetPr>
    <pageSetUpPr fitToPage="1"/>
  </sheetPr>
  <dimension ref="A1:O5"/>
  <sheetViews>
    <sheetView zoomScale="80" zoomScaleNormal="80" workbookViewId="0">
      <pane ySplit="1" topLeftCell="A2" activePane="bottomLeft" state="frozen"/>
      <selection pane="bottomLeft" activeCell="I3" sqref="I2:I3"/>
    </sheetView>
  </sheetViews>
  <sheetFormatPr defaultRowHeight="15" x14ac:dyDescent="0.25"/>
  <cols>
    <col min="1" max="1" width="4.140625" customWidth="1"/>
    <col min="2" max="2" width="15.28515625" customWidth="1"/>
    <col min="3" max="3" width="19.85546875" style="2" customWidth="1"/>
    <col min="4" max="4" width="51" customWidth="1"/>
    <col min="5" max="5" width="50.28515625" customWidth="1"/>
    <col min="6" max="8" width="17.140625" customWidth="1"/>
    <col min="9" max="11" width="17.140625" style="7" customWidth="1"/>
    <col min="12" max="14" width="17.140625" style="3" customWidth="1"/>
    <col min="15" max="15" width="17.140625" customWidth="1"/>
  </cols>
  <sheetData>
    <row r="1" spans="1:15" s="1" customFormat="1" ht="45" x14ac:dyDescent="0.25">
      <c r="A1" s="5" t="s">
        <v>1</v>
      </c>
      <c r="B1" s="5" t="s">
        <v>0</v>
      </c>
      <c r="C1" s="6" t="s">
        <v>36</v>
      </c>
      <c r="D1" s="5" t="s">
        <v>2</v>
      </c>
      <c r="E1" s="5" t="s">
        <v>3</v>
      </c>
      <c r="F1" s="5" t="s">
        <v>13</v>
      </c>
      <c r="G1" s="5" t="s">
        <v>14</v>
      </c>
      <c r="H1" s="5" t="s">
        <v>15</v>
      </c>
      <c r="I1" s="10" t="s">
        <v>16</v>
      </c>
      <c r="J1" s="12" t="s">
        <v>17</v>
      </c>
      <c r="K1" s="11" t="s">
        <v>28</v>
      </c>
      <c r="L1" s="4" t="s">
        <v>18</v>
      </c>
      <c r="M1" s="4" t="s">
        <v>19</v>
      </c>
      <c r="N1" s="4" t="s">
        <v>20</v>
      </c>
      <c r="O1" s="4" t="s">
        <v>21</v>
      </c>
    </row>
    <row r="2" spans="1:15" s="19" customFormat="1" ht="357" customHeight="1" x14ac:dyDescent="0.25">
      <c r="A2" s="44">
        <v>1</v>
      </c>
      <c r="B2" s="14" t="s">
        <v>56</v>
      </c>
      <c r="C2" s="24" t="s">
        <v>54</v>
      </c>
      <c r="D2" s="22" t="s">
        <v>57</v>
      </c>
      <c r="E2"/>
      <c r="F2" s="13">
        <v>1</v>
      </c>
      <c r="G2" s="13"/>
      <c r="H2" s="38">
        <v>1</v>
      </c>
      <c r="I2" s="45"/>
      <c r="J2" s="46">
        <f>Tabela224567[[#This Row],[szacunkowa cena jednostkowa netto]]*Tabela224567[[#This Row],[łączna ilość]]</f>
        <v>0</v>
      </c>
      <c r="K2" s="47">
        <f>Tabela224567[[#This Row],[szacunkowa cena jednostkowa netto]]*Tabela224567[[#This Row],[łączna ilość]]*1.23</f>
        <v>0</v>
      </c>
      <c r="L2" s="27">
        <f>Tabela224567[[#This Row],[szacunkowa wartość netto ]]</f>
        <v>0</v>
      </c>
      <c r="M2" s="27" t="e">
        <f>#REF!*1.23</f>
        <v>#REF!</v>
      </c>
      <c r="N2" s="27"/>
      <c r="O2" s="27"/>
    </row>
    <row r="3" spans="1:15" s="19" customFormat="1" ht="165" x14ac:dyDescent="0.25">
      <c r="A3" s="13">
        <v>2</v>
      </c>
      <c r="B3" s="14" t="s">
        <v>52</v>
      </c>
      <c r="C3" s="24" t="s">
        <v>42</v>
      </c>
      <c r="D3" s="22" t="s">
        <v>35</v>
      </c>
      <c r="E3" s="13"/>
      <c r="F3" s="13"/>
      <c r="G3" s="13">
        <v>1</v>
      </c>
      <c r="H3" s="38" t="e">
        <f>#REF!+#REF!</f>
        <v>#REF!</v>
      </c>
      <c r="I3" s="40"/>
      <c r="J3" s="21" t="e">
        <f>Tabela224567[[#This Row],[szacunkowa cena jednostkowa netto]]*Tabela224567[[#This Row],[łączna ilość]]</f>
        <v>#REF!</v>
      </c>
      <c r="K3" s="21" t="e">
        <f>Tabela224567[[#This Row],[szacunkowa cena jednostkowa netto]]*Tabela224567[[#This Row],[łączna ilość]]*1.23</f>
        <v>#REF!</v>
      </c>
      <c r="L3" s="18"/>
      <c r="M3" s="18"/>
      <c r="N3" s="18" t="e">
        <f>Tabela224567[[#This Row],[szacunkowa cena jednostkowa netto]]*Tabela224567[[#This Row],[łączna ilość]]</f>
        <v>#REF!</v>
      </c>
      <c r="O3" s="18" t="e">
        <f>Tabela224567[[#This Row],[szacunkowa wartość brutto]]</f>
        <v>#REF!</v>
      </c>
    </row>
    <row r="4" spans="1:15" ht="75.75" customHeight="1" x14ac:dyDescent="0.25">
      <c r="A4" s="30"/>
      <c r="B4" s="31"/>
      <c r="C4" s="32"/>
      <c r="D4" s="33"/>
      <c r="E4" s="33"/>
      <c r="F4" s="33"/>
      <c r="G4" s="33"/>
      <c r="H4" s="33"/>
      <c r="I4" s="34"/>
      <c r="J4" s="35" t="e">
        <f>SUBTOTAL(109,Tabela224567[[szacunkowa wartość netto ]])</f>
        <v>#REF!</v>
      </c>
      <c r="K4" s="36" t="e">
        <f>SUBTOTAL(109,Tabela224567[szacunkowa wartość brutto])</f>
        <v>#REF!</v>
      </c>
      <c r="L4" s="37">
        <f>SUBTOTAL(109,Tabela224567[bużet DOA netto])</f>
        <v>0</v>
      </c>
      <c r="M4" s="37" t="e">
        <f>SUBTOTAL(109,Tabela224567[budżet DOA brutto])</f>
        <v>#REF!</v>
      </c>
      <c r="N4" s="37" t="e">
        <f>SUBTOTAL(109,Tabela224567[[budżet WOA netto ]])</f>
        <v>#REF!</v>
      </c>
      <c r="O4" s="37" t="e">
        <f>SUBTOTAL(109,Tabela224567[Budżet WOA brutto])</f>
        <v>#REF!</v>
      </c>
    </row>
    <row r="5" spans="1:15" s="1" customFormat="1" x14ac:dyDescent="0.25">
      <c r="C5" s="2"/>
      <c r="I5" s="8"/>
      <c r="J5" s="8"/>
      <c r="K5" s="8"/>
      <c r="L5" s="9"/>
      <c r="M5" s="9"/>
      <c r="N5" s="9"/>
    </row>
  </sheetData>
  <pageMargins left="0.7" right="0.7" top="0.75" bottom="0.75" header="0.3" footer="0.3"/>
  <pageSetup paperSize="8" scale="42" orientation="portrait" r:id="rId1"/>
  <drawing r:id="rId2"/>
  <tableParts count="1">
    <tablePart r:id="rId3"/>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99D3A4-364C-42FF-B6C1-445FFB02E9A6}">
  <sheetPr>
    <pageSetUpPr fitToPage="1"/>
  </sheetPr>
  <dimension ref="A1:O5"/>
  <sheetViews>
    <sheetView tabSelected="1" zoomScale="80" zoomScaleNormal="80" workbookViewId="0">
      <pane ySplit="1" topLeftCell="A2" activePane="bottomLeft" state="frozen"/>
      <selection pane="bottomLeft" activeCell="I3" sqref="I2:I3"/>
    </sheetView>
  </sheetViews>
  <sheetFormatPr defaultRowHeight="15" x14ac:dyDescent="0.25"/>
  <cols>
    <col min="1" max="1" width="4.140625" customWidth="1"/>
    <col min="2" max="2" width="15.28515625" customWidth="1"/>
    <col min="3" max="3" width="19.85546875" style="2" customWidth="1"/>
    <col min="4" max="4" width="51" customWidth="1"/>
    <col min="5" max="5" width="50.28515625" customWidth="1"/>
    <col min="6" max="8" width="17.140625" customWidth="1"/>
    <col min="9" max="11" width="17.140625" style="7" customWidth="1"/>
    <col min="12" max="14" width="17.140625" style="3" customWidth="1"/>
    <col min="15" max="15" width="17.140625" customWidth="1"/>
  </cols>
  <sheetData>
    <row r="1" spans="1:15" s="1" customFormat="1" ht="45" x14ac:dyDescent="0.25">
      <c r="A1" s="5" t="s">
        <v>1</v>
      </c>
      <c r="B1" s="5" t="s">
        <v>0</v>
      </c>
      <c r="C1" s="6" t="s">
        <v>36</v>
      </c>
      <c r="D1" s="5" t="s">
        <v>2</v>
      </c>
      <c r="E1" s="5" t="s">
        <v>3</v>
      </c>
      <c r="F1" s="5" t="s">
        <v>13</v>
      </c>
      <c r="G1" s="5" t="s">
        <v>14</v>
      </c>
      <c r="H1" s="5" t="s">
        <v>15</v>
      </c>
      <c r="I1" s="10" t="s">
        <v>16</v>
      </c>
      <c r="J1" s="12" t="s">
        <v>17</v>
      </c>
      <c r="K1" s="11" t="s">
        <v>28</v>
      </c>
      <c r="L1" s="4" t="s">
        <v>18</v>
      </c>
      <c r="M1" s="4" t="s">
        <v>19</v>
      </c>
      <c r="N1" s="4" t="s">
        <v>20</v>
      </c>
      <c r="O1" s="4" t="s">
        <v>21</v>
      </c>
    </row>
    <row r="2" spans="1:15" s="19" customFormat="1" ht="207.75" customHeight="1" x14ac:dyDescent="0.25">
      <c r="A2" s="13">
        <v>6</v>
      </c>
      <c r="B2" s="14" t="s">
        <v>9</v>
      </c>
      <c r="C2" s="15" t="s">
        <v>41</v>
      </c>
      <c r="D2" s="23" t="s">
        <v>12</v>
      </c>
      <c r="E2" s="13"/>
      <c r="F2" s="13">
        <v>3</v>
      </c>
      <c r="G2" s="13"/>
      <c r="H2" s="38">
        <f>Tabela2245678[[#This Row],[ilość DOA]]+Tabela2245678[[#This Row],[ilość WOA]]</f>
        <v>3</v>
      </c>
      <c r="I2" s="40"/>
      <c r="J2" s="21">
        <f>Tabela2245678[[#This Row],[szacunkowa cena jednostkowa netto]]*Tabela2245678[[#This Row],[łączna ilość]]</f>
        <v>0</v>
      </c>
      <c r="K2" s="21">
        <f>Tabela2245678[[#This Row],[łączna ilość]]*Tabela2245678[[#This Row],[szacunkowa cena jednostkowa netto]]*1.23</f>
        <v>0</v>
      </c>
      <c r="L2" s="18">
        <f>Tabela2245678[[#This Row],[szacunkowa cena jednostkowa netto]]*Tabela2245678[[#This Row],[łączna ilość]]</f>
        <v>0</v>
      </c>
      <c r="M2" s="18">
        <f>Tabela2245678[[#This Row],[bużet DOA netto]]*1.23</f>
        <v>0</v>
      </c>
      <c r="N2" s="18"/>
      <c r="O2" s="18">
        <f>Tabela2245678[[#This Row],[budżet WOA netto ]]*1.23</f>
        <v>0</v>
      </c>
    </row>
    <row r="3" spans="1:15" s="19" customFormat="1" ht="274.5" customHeight="1" thickBot="1" x14ac:dyDescent="0.3">
      <c r="A3" s="13">
        <v>14</v>
      </c>
      <c r="B3" s="14" t="s">
        <v>49</v>
      </c>
      <c r="C3" s="24" t="s">
        <v>48</v>
      </c>
      <c r="D3" s="28" t="s">
        <v>27</v>
      </c>
      <c r="E3" s="22"/>
      <c r="F3" s="13"/>
      <c r="G3" s="13">
        <v>1</v>
      </c>
      <c r="H3" s="38">
        <f>Tabela2245678[[#This Row],[ilość DOA]]+Tabela2245678[[#This Row],[ilość WOA]]</f>
        <v>1</v>
      </c>
      <c r="I3" s="43"/>
      <c r="J3" s="26">
        <f>Tabela2245678[[#This Row],[szacunkowa cena jednostkowa netto]]*Tabela2245678[[#This Row],[łączna ilość]]</f>
        <v>0</v>
      </c>
      <c r="K3" s="29">
        <f>Tabela2245678[[#This Row],[łączna ilość]]*Tabela2245678[[#This Row],[szacunkowa cena jednostkowa netto]]*1.23</f>
        <v>0</v>
      </c>
      <c r="L3" s="18"/>
      <c r="M3" s="18">
        <f>Tabela2245678[[#This Row],[bużet DOA netto]]*1.23</f>
        <v>0</v>
      </c>
      <c r="N3" s="18">
        <f>Tabela2245678[[#This Row],[szacunkowa cena jednostkowa netto]]*Tabela2245678[[#This Row],[łączna ilość]]</f>
        <v>0</v>
      </c>
      <c r="O3" s="18">
        <f>Tabela2245678[[#This Row],[budżet WOA netto ]]*1.23</f>
        <v>0</v>
      </c>
    </row>
    <row r="4" spans="1:15" ht="75.75" customHeight="1" x14ac:dyDescent="0.25">
      <c r="A4" s="30"/>
      <c r="B4" s="31"/>
      <c r="C4" s="32"/>
      <c r="D4" s="33"/>
      <c r="E4" s="33"/>
      <c r="F4" s="33"/>
      <c r="G4" s="33"/>
      <c r="H4" s="33"/>
      <c r="I4" s="34"/>
      <c r="J4" s="35">
        <f>SUBTOTAL(109,Tabela2245678[[szacunkowa wartość netto ]])</f>
        <v>0</v>
      </c>
      <c r="K4" s="36">
        <f>SUBTOTAL(109,Tabela2245678[szacunkowa wartość brutto])</f>
        <v>0</v>
      </c>
      <c r="L4" s="37">
        <f>SUBTOTAL(109,Tabela2245678[bużet DOA netto])</f>
        <v>0</v>
      </c>
      <c r="M4" s="37">
        <f>SUBTOTAL(109,Tabela2245678[budżet DOA brutto])</f>
        <v>0</v>
      </c>
      <c r="N4" s="37">
        <f>SUBTOTAL(109,Tabela2245678[[budżet WOA netto ]])</f>
        <v>0</v>
      </c>
      <c r="O4" s="37">
        <f>SUBTOTAL(109,Tabela2245678[Budżet WOA brutto])</f>
        <v>0</v>
      </c>
    </row>
    <row r="5" spans="1:15" s="1" customFormat="1" x14ac:dyDescent="0.25">
      <c r="C5" s="2"/>
      <c r="I5" s="8"/>
      <c r="J5" s="8"/>
      <c r="K5" s="8"/>
      <c r="L5" s="9"/>
      <c r="M5" s="9"/>
      <c r="N5" s="9"/>
    </row>
  </sheetData>
  <pageMargins left="0.7" right="0.7" top="0.75" bottom="0.75" header="0.3" footer="0.3"/>
  <pageSetup paperSize="8" scale="42" orientation="portrait" r:id="rId1"/>
  <drawing r:id="rId2"/>
  <tableParts count="1">
    <tablePart r:id="rId3"/>
  </tablePar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Arkusze</vt:lpstr>
      </vt:variant>
      <vt:variant>
        <vt:i4>6</vt:i4>
      </vt:variant>
    </vt:vector>
  </HeadingPairs>
  <TitlesOfParts>
    <vt:vector size="6" baseType="lpstr">
      <vt:lpstr>zadanie nr 1 szafy</vt:lpstr>
      <vt:lpstr>zadanie nr 2 krzesła</vt:lpstr>
      <vt:lpstr>zadanie nr 3 stoły</vt:lpstr>
      <vt:lpstr>zadanie nr 4 loft</vt:lpstr>
      <vt:lpstr>zadanie nr 5 szafy metalowe</vt:lpstr>
      <vt:lpstr>zadanie nr 6 wieszak regał</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Agnieszka Zimna</dc:creator>
  <cp:lastModifiedBy>Kajetan Walczak</cp:lastModifiedBy>
  <cp:lastPrinted>2024-11-04T10:25:35Z</cp:lastPrinted>
  <dcterms:created xsi:type="dcterms:W3CDTF">2024-02-28T13:47:07Z</dcterms:created>
  <dcterms:modified xsi:type="dcterms:W3CDTF">2024-11-07T12:29:36Z</dcterms:modified>
</cp:coreProperties>
</file>