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 Zaopatrzenia Medycznego\Sekcja Sprzetu Medycznego\SSM\EDYTA\Janicka\testy specjalistyczne\TESTY SPECJALISTYCZNE 2024\strona www\"/>
    </mc:Choice>
  </mc:AlternateContent>
  <bookViews>
    <workbookView xWindow="0" yWindow="0" windowWidth="28770" windowHeight="11820"/>
  </bookViews>
  <sheets>
    <sheet name="export_serviceorderreviewlist(2" sheetId="1" r:id="rId1"/>
  </sheets>
  <calcPr calcId="162913"/>
</workbook>
</file>

<file path=xl/calcChain.xml><?xml version="1.0" encoding="utf-8"?>
<calcChain xmlns="http://schemas.openxmlformats.org/spreadsheetml/2006/main">
  <c r="B29" i="1" l="1"/>
  <c r="B3" i="1"/>
  <c r="C3" i="1"/>
  <c r="D3" i="1"/>
  <c r="E3" i="1"/>
  <c r="F3" i="1"/>
  <c r="G3" i="1"/>
  <c r="B17" i="1"/>
  <c r="C17" i="1"/>
  <c r="D17" i="1"/>
  <c r="F17" i="1"/>
  <c r="B27" i="1"/>
  <c r="C27" i="1"/>
  <c r="D27" i="1"/>
  <c r="F27" i="1"/>
  <c r="B8" i="1"/>
  <c r="C8" i="1"/>
  <c r="D8" i="1"/>
  <c r="E8" i="1"/>
  <c r="F8" i="1"/>
  <c r="B5" i="1"/>
  <c r="C5" i="1"/>
  <c r="D5" i="1"/>
  <c r="F5" i="1"/>
  <c r="B28" i="1"/>
  <c r="C28" i="1"/>
  <c r="D28" i="1"/>
  <c r="E28" i="1"/>
  <c r="F28" i="1"/>
  <c r="C23" i="1"/>
  <c r="D23" i="1"/>
  <c r="F23" i="1"/>
  <c r="C7" i="1"/>
  <c r="D7" i="1"/>
  <c r="F7" i="1"/>
  <c r="B6" i="1"/>
  <c r="C6" i="1"/>
  <c r="D6" i="1"/>
  <c r="E6" i="1"/>
  <c r="F6" i="1"/>
  <c r="B21" i="1"/>
  <c r="C21" i="1"/>
  <c r="D21" i="1"/>
  <c r="E21" i="1"/>
  <c r="F21" i="1"/>
  <c r="B9" i="1"/>
  <c r="C9" i="1"/>
  <c r="D9" i="1"/>
  <c r="F9" i="1"/>
  <c r="B20" i="1"/>
  <c r="C20" i="1"/>
  <c r="D20" i="1"/>
  <c r="E20" i="1"/>
  <c r="F20" i="1"/>
  <c r="B4" i="1"/>
  <c r="C4" i="1"/>
  <c r="D4" i="1"/>
  <c r="E4" i="1"/>
  <c r="F4" i="1"/>
  <c r="B22" i="1"/>
  <c r="C22" i="1"/>
  <c r="D22" i="1"/>
  <c r="E22" i="1"/>
  <c r="F22" i="1"/>
  <c r="B13" i="1"/>
  <c r="C13" i="1"/>
  <c r="D13" i="1"/>
  <c r="E13" i="1"/>
  <c r="F13" i="1"/>
  <c r="C10" i="1"/>
  <c r="D10" i="1"/>
  <c r="E10" i="1"/>
  <c r="F10" i="1"/>
  <c r="B12" i="1"/>
  <c r="C12" i="1"/>
  <c r="D12" i="1"/>
  <c r="F12" i="1"/>
  <c r="B24" i="1"/>
  <c r="C24" i="1"/>
  <c r="D24" i="1"/>
  <c r="E24" i="1"/>
  <c r="F24" i="1"/>
  <c r="B11" i="1"/>
  <c r="C11" i="1"/>
  <c r="D11" i="1"/>
  <c r="E11" i="1"/>
  <c r="F11" i="1"/>
  <c r="B14" i="1"/>
  <c r="C14" i="1"/>
  <c r="D14" i="1"/>
  <c r="E14" i="1"/>
  <c r="F14" i="1"/>
  <c r="B26" i="1"/>
  <c r="C26" i="1"/>
  <c r="D26" i="1"/>
  <c r="E26" i="1"/>
  <c r="F26" i="1"/>
  <c r="C25" i="1"/>
  <c r="D25" i="1"/>
  <c r="E25" i="1"/>
  <c r="F25" i="1"/>
  <c r="B15" i="1"/>
  <c r="C15" i="1"/>
  <c r="D15" i="1"/>
  <c r="F15" i="1"/>
  <c r="B19" i="1"/>
  <c r="C19" i="1"/>
  <c r="D19" i="1"/>
  <c r="B16" i="1"/>
  <c r="C16" i="1"/>
  <c r="D16" i="1"/>
  <c r="E16" i="1"/>
  <c r="F16" i="1"/>
  <c r="B18" i="1"/>
  <c r="C18" i="1"/>
  <c r="D18" i="1"/>
  <c r="E18" i="1"/>
  <c r="F18" i="1"/>
</calcChain>
</file>

<file path=xl/sharedStrings.xml><?xml version="1.0" encoding="utf-8"?>
<sst xmlns="http://schemas.openxmlformats.org/spreadsheetml/2006/main" count="51" uniqueCount="43">
  <si>
    <t>ZAKŁAD RADIOLOGII LEKARSKIEJ I DIAGNOSTYKI OBRAZOWEJ</t>
  </si>
  <si>
    <t>BLOK OPERACYJNY ORTOPEDII I TRAUMATOLOGII NARZĄDU RUCHU</t>
  </si>
  <si>
    <t xml:space="preserve">Aparat RTG przyłóżkowy, cyfrowy, z napędem oraz komunikacją Wi-fi </t>
  </si>
  <si>
    <t xml:space="preserve">Aparat rtg do zdjęć kostnych ze ścianką płucną MULTIX TOP </t>
  </si>
  <si>
    <t>Aparat RTG z ramieniem C - angiograf przewoźny z wyposażeniem elektrofizjologicznym</t>
  </si>
  <si>
    <t>Stół do biopsji stereotaktycznych piersi w pozycji leżącej, pod kontrolą RTG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</si>
  <si>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</si>
  <si>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</si>
  <si>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</si>
  <si>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</si>
  <si>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</si>
  <si>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</si>
  <si>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</si>
  <si>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</si>
  <si>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</si>
  <si>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</si>
  <si>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</si>
  <si>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</si>
  <si>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</si>
  <si>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</si>
  <si>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</si>
  <si>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</si>
  <si>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</si>
  <si>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</si>
  <si>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</si>
  <si>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</si>
  <si>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</si>
  <si>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</si>
  <si>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</si>
  <si>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</si>
  <si>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</si>
  <si>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</si>
  <si>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</si>
  <si>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</si>
  <si>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ZEN 5000</t>
  </si>
  <si>
    <t>ZEN-082801-10517</t>
  </si>
  <si>
    <t>Monitor do prezentacji obrazów medycznych</t>
  </si>
  <si>
    <t>Cena brutto [zł]</t>
  </si>
  <si>
    <t>Wartość netto [zł]</t>
  </si>
  <si>
    <t>Vat 23%</t>
  </si>
  <si>
    <t>35 szt.</t>
  </si>
  <si>
    <t>RAZEM</t>
  </si>
  <si>
    <t>Zestawienie asortymentowo-cenowe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</si>
</sst>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9" fillId="0" borderId="0" xfId="0" applyFont="1"/>
    <xf numFmtId="0" fontId="0" fillId="0" borderId="0" xfId="0" applyAlignment="1">
      <alignment horizontal="center"/>
    </xf>
    <xf numFmtId="0" fontId="0" fillId="0" borderId="10" xfId="0" applyBorder="1"/>
    <xf numFmtId="0" fontId="20" fillId="0" borderId="10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14" fontId="21" fillId="0" borderId="10" xfId="0" applyNumberFormat="1" applyFont="1" applyBorder="1" applyAlignment="1">
      <alignment wrapText="1"/>
    </xf>
    <xf numFmtId="0" fontId="21" fillId="0" borderId="10" xfId="0" applyFont="1" applyBorder="1"/>
    <xf numFmtId="0" fontId="21" fillId="0" borderId="10" xfId="0" applyFont="1" applyBorder="1" applyAlignment="1">
      <alignment horizontal="left"/>
    </xf>
    <xf numFmtId="14" fontId="21" fillId="0" borderId="10" xfId="0" applyNumberFormat="1" applyFont="1" applyBorder="1"/>
    <xf numFmtId="0" fontId="21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18" fillId="0" borderId="0" xfId="0" applyFont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25" workbookViewId="0">
      <selection activeCell="S9" sqref="S9"/>
    </sheetView>
  </sheetViews>
  <sheetFormatPr defaultRowHeight="15" x14ac:dyDescent="0.25"/>
  <cols>
    <col min="1" max="1" width="4.7109375" customWidth="1"/>
    <col min="2" max="2" width="28.85546875" customWidth="1"/>
    <col min="3" max="3" width="10.7109375" customWidth="1"/>
    <col min="4" max="4" width="14.42578125" customWidth="1"/>
    <col min="5" max="5" width="27.28515625" style="1" customWidth="1"/>
    <col min="6" max="6" width="9.140625" customWidth="1"/>
    <col min="7" max="7" width="9.28515625" customWidth="1"/>
    <col min="8" max="8" width="8.140625" customWidth="1"/>
    <col min="9" max="9" width="6.140625" customWidth="1"/>
    <col min="10" max="10" width="9.7109375" customWidth="1"/>
  </cols>
  <sheetData>
    <row r="1" spans="1:10" x14ac:dyDescent="0.25">
      <c r="A1" s="15" t="s">
        <v>42</v>
      </c>
      <c r="B1" s="2"/>
      <c r="C1" s="2"/>
      <c r="D1" s="2"/>
      <c r="E1" s="2"/>
      <c r="F1" s="2"/>
      <c r="G1" s="2"/>
      <c r="H1" s="2"/>
      <c r="I1" s="2"/>
      <c r="J1" s="2"/>
    </row>
    <row r="3" spans="1:10" ht="33.75" customHeight="1" x14ac:dyDescent="0.25">
      <c r="A3" s="4" t="s">
        <v>6</v>
      </c>
      <c r="B3" s="4" t="str">
        <f>"Nazwa urządzenia"</f>
        <v>Nazwa urządzenia</v>
      </c>
      <c r="C3" s="4" t="str">
        <f>"Nr Seryjny"</f>
        <v>Nr Seryjny</v>
      </c>
      <c r="D3" s="4" t="str">
        <f>"Typ"</f>
        <v>Typ</v>
      </c>
      <c r="E3" s="4" t="str">
        <f>"Jednostka organizacyjna"</f>
        <v>Jednostka organizacyjna</v>
      </c>
      <c r="F3" s="4" t="str">
        <f>"Kod kreskowy"</f>
        <v>Kod kreskowy</v>
      </c>
      <c r="G3" s="4" t="str">
        <f>"Planowana data wyk."</f>
        <v>Planowana data wyk.</v>
      </c>
      <c r="H3" s="4" t="s">
        <v>38</v>
      </c>
      <c r="I3" s="4" t="s">
        <v>39</v>
      </c>
      <c r="J3" s="4" t="s">
        <v>37</v>
      </c>
    </row>
    <row r="4" spans="1:10" ht="26.25" x14ac:dyDescent="0.25">
      <c r="A4" s="5" t="s">
        <v>7</v>
      </c>
      <c r="B4" s="5" t="str">
        <f>"Dwugłowicowa gamma kamera SPECT CT"</f>
        <v>Dwugłowicowa gamma kamera SPECT CT</v>
      </c>
      <c r="C4" s="5" t="str">
        <f>"1095"</f>
        <v>1095</v>
      </c>
      <c r="D4" s="5" t="str">
        <f>"SYMBIA T"</f>
        <v>SYMBIA T</v>
      </c>
      <c r="E4" s="5" t="str">
        <f>"ZAKŁAD MEDYCYNY NUKLEARNEJ "</f>
        <v xml:space="preserve">ZAKŁAD MEDYCYNY NUKLEARNEJ </v>
      </c>
      <c r="F4" s="5" t="str">
        <f>"010754"</f>
        <v>010754</v>
      </c>
      <c r="G4" s="6">
        <v>45683</v>
      </c>
      <c r="H4" s="7"/>
      <c r="I4" s="7"/>
      <c r="J4" s="7"/>
    </row>
    <row r="5" spans="1:10" ht="39" x14ac:dyDescent="0.25">
      <c r="A5" s="5" t="s">
        <v>8</v>
      </c>
      <c r="B5" s="5" t="str">
        <f>"Aparat RTG przyłóżkowy, cyfrowy (z napędem)"</f>
        <v>Aparat RTG przyłóżkowy, cyfrowy (z napędem)</v>
      </c>
      <c r="C5" s="5" t="str">
        <f>"1300"</f>
        <v>1300</v>
      </c>
      <c r="D5" s="5" t="str">
        <f>"Mobilett Mira Max"</f>
        <v>Mobilett Mira Max</v>
      </c>
      <c r="E5" s="5" t="s">
        <v>0</v>
      </c>
      <c r="F5" s="5" t="str">
        <f>"016066"</f>
        <v>016066</v>
      </c>
      <c r="G5" s="6">
        <v>45661</v>
      </c>
      <c r="H5" s="7"/>
      <c r="I5" s="7"/>
      <c r="J5" s="7"/>
    </row>
    <row r="6" spans="1:10" ht="26.25" x14ac:dyDescent="0.25">
      <c r="A6" s="5" t="s">
        <v>9</v>
      </c>
      <c r="B6" s="5" t="str">
        <f>"Aparat RTG stomatologiczny"</f>
        <v>Aparat RTG stomatologiczny</v>
      </c>
      <c r="C6" s="5" t="str">
        <f>"02583"</f>
        <v>02583</v>
      </c>
      <c r="D6" s="5" t="str">
        <f>"Heliodent Plus"</f>
        <v>Heliodent Plus</v>
      </c>
      <c r="E6" s="5" t="str">
        <f>"POLIKLINIKA STOMATOLOGICZNA"</f>
        <v>POLIKLINIKA STOMATOLOGICZNA</v>
      </c>
      <c r="F6" s="5" t="str">
        <f>"009455"</f>
        <v>009455</v>
      </c>
      <c r="G6" s="6">
        <v>45672</v>
      </c>
      <c r="H6" s="7"/>
      <c r="I6" s="7"/>
      <c r="J6" s="7"/>
    </row>
    <row r="7" spans="1:10" ht="39" x14ac:dyDescent="0.25">
      <c r="A7" s="5" t="s">
        <v>10</v>
      </c>
      <c r="B7" s="5" t="s">
        <v>3</v>
      </c>
      <c r="C7" s="5" t="str">
        <f>"2962 "</f>
        <v xml:space="preserve">2962 </v>
      </c>
      <c r="D7" s="5" t="str">
        <f>"MULTIX TOP/00475517"</f>
        <v>MULTIX TOP/00475517</v>
      </c>
      <c r="E7" s="5" t="s">
        <v>0</v>
      </c>
      <c r="F7" s="5" t="str">
        <f>"011761"</f>
        <v>011761</v>
      </c>
      <c r="G7" s="6">
        <v>45672</v>
      </c>
      <c r="H7" s="7"/>
      <c r="I7" s="7"/>
      <c r="J7" s="7"/>
    </row>
    <row r="8" spans="1:10" ht="33" customHeight="1" x14ac:dyDescent="0.25">
      <c r="A8" s="5" t="s">
        <v>11</v>
      </c>
      <c r="B8" s="5" t="str">
        <f>"Aparat RTG przyłóżkowy, cyfrowy (z napędem)"</f>
        <v>Aparat RTG przyłóżkowy, cyfrowy (z napędem)</v>
      </c>
      <c r="C8" s="5" t="str">
        <f>"3507"</f>
        <v>3507</v>
      </c>
      <c r="D8" s="5" t="str">
        <f>"Mobilett Mira Max"</f>
        <v>Mobilett Mira Max</v>
      </c>
      <c r="E8" s="5" t="str">
        <f>"Kliniczny Oddział Intensywnej Terapii"</f>
        <v>Kliniczny Oddział Intensywnej Terapii</v>
      </c>
      <c r="F8" s="5" t="str">
        <f>"020440"</f>
        <v>020440</v>
      </c>
      <c r="G8" s="6">
        <v>45661</v>
      </c>
      <c r="H8" s="7"/>
      <c r="I8" s="7"/>
      <c r="J8" s="7"/>
    </row>
    <row r="9" spans="1:10" ht="39" x14ac:dyDescent="0.25">
      <c r="A9" s="5" t="s">
        <v>12</v>
      </c>
      <c r="B9" s="5" t="str">
        <f>"Aparat rtg ogólnodiagnostyczny"</f>
        <v>Aparat rtg ogólnodiagnostyczny</v>
      </c>
      <c r="C9" s="5" t="str">
        <f>"4333"</f>
        <v>4333</v>
      </c>
      <c r="D9" s="5" t="str">
        <f>"Axiom Luminos dRF"</f>
        <v>Axiom Luminos dRF</v>
      </c>
      <c r="E9" s="5" t="s">
        <v>0</v>
      </c>
      <c r="F9" s="5" t="str">
        <f>"015100"</f>
        <v>015100</v>
      </c>
      <c r="G9" s="6">
        <v>45673</v>
      </c>
      <c r="H9" s="7"/>
      <c r="I9" s="7"/>
      <c r="J9" s="7"/>
    </row>
    <row r="10" spans="1:10" ht="51.75" x14ac:dyDescent="0.25">
      <c r="A10" s="5" t="s">
        <v>13</v>
      </c>
      <c r="B10" s="5" t="s">
        <v>4</v>
      </c>
      <c r="C10" s="5" t="str">
        <f>"12018"</f>
        <v>12018</v>
      </c>
      <c r="D10" s="5" t="str">
        <f>"Cios Alpha"</f>
        <v>Cios Alpha</v>
      </c>
      <c r="E10" s="5" t="str">
        <f>"PRACOWNIA ELEKTROFIZJOLOGII INWAZYJNEJ"</f>
        <v>PRACOWNIA ELEKTROFIZJOLOGII INWAZYJNEJ</v>
      </c>
      <c r="F10" s="5" t="str">
        <f>"016650"</f>
        <v>016650</v>
      </c>
      <c r="G10" s="6">
        <v>45700</v>
      </c>
      <c r="H10" s="7"/>
      <c r="I10" s="7"/>
      <c r="J10" s="7"/>
    </row>
    <row r="11" spans="1:10" ht="27.75" customHeight="1" x14ac:dyDescent="0.25">
      <c r="A11" s="5" t="s">
        <v>14</v>
      </c>
      <c r="B11" s="5" t="str">
        <f>"Mammograf"</f>
        <v>Mammograf</v>
      </c>
      <c r="C11" s="5" t="str">
        <f>"12121"</f>
        <v>12121</v>
      </c>
      <c r="D11" s="5" t="str">
        <f>"Mammomat 1000"</f>
        <v>Mammomat 1000</v>
      </c>
      <c r="E11" s="5" t="str">
        <f>"Zakład Radiologii Zabiegowej"</f>
        <v>Zakład Radiologii Zabiegowej</v>
      </c>
      <c r="F11" s="5" t="str">
        <f>"006876"</f>
        <v>006876</v>
      </c>
      <c r="G11" s="6">
        <v>45700</v>
      </c>
      <c r="H11" s="7"/>
      <c r="I11" s="7"/>
      <c r="J11" s="7"/>
    </row>
    <row r="12" spans="1:10" ht="51.75" x14ac:dyDescent="0.25">
      <c r="A12" s="5" t="s">
        <v>15</v>
      </c>
      <c r="B12" s="5" t="str">
        <f>"Aparat RTG z ramieniem C śródoperacyjny z wyp."</f>
        <v>Aparat RTG z ramieniem C śródoperacyjny z wyp.</v>
      </c>
      <c r="C12" s="5" t="str">
        <f>"13289 "</f>
        <v xml:space="preserve">13289 </v>
      </c>
      <c r="D12" s="5" t="str">
        <f>"Arcadis Varic"</f>
        <v>Arcadis Varic</v>
      </c>
      <c r="E12" s="5" t="s">
        <v>1</v>
      </c>
      <c r="F12" s="5" t="str">
        <f>"013401"</f>
        <v>013401</v>
      </c>
      <c r="G12" s="6">
        <v>45700</v>
      </c>
      <c r="H12" s="7"/>
      <c r="I12" s="7"/>
      <c r="J12" s="7"/>
    </row>
    <row r="13" spans="1:10" ht="26.25" x14ac:dyDescent="0.25">
      <c r="A13" s="5" t="s">
        <v>16</v>
      </c>
      <c r="B13" s="5" t="str">
        <f>"Aparat RTG z ramieniem C - angiograf przewoźny"</f>
        <v>Aparat RTG z ramieniem C - angiograf przewoźny</v>
      </c>
      <c r="C13" s="5" t="str">
        <f>"50275"</f>
        <v>50275</v>
      </c>
      <c r="D13" s="5" t="str">
        <f>"Cios Spin"</f>
        <v>Cios Spin</v>
      </c>
      <c r="E13" s="5" t="str">
        <f>"BLOK OPERACYJNY CHIRURGII NACZYNIOWEJ"</f>
        <v>BLOK OPERACYJNY CHIRURGII NACZYNIOWEJ</v>
      </c>
      <c r="F13" s="5" t="str">
        <f>"022589"</f>
        <v>022589</v>
      </c>
      <c r="G13" s="6">
        <v>45694</v>
      </c>
      <c r="H13" s="7"/>
      <c r="I13" s="7"/>
      <c r="J13" s="7"/>
    </row>
    <row r="14" spans="1:10" ht="26.25" x14ac:dyDescent="0.25">
      <c r="A14" s="5" t="s">
        <v>17</v>
      </c>
      <c r="B14" s="5" t="str">
        <f>"Aparat RTG śródoperacyjny typu ramię C"</f>
        <v>Aparat RTG śródoperacyjny typu ramię C</v>
      </c>
      <c r="C14" s="5" t="str">
        <f>"51304"</f>
        <v>51304</v>
      </c>
      <c r="D14" s="5" t="str">
        <f>"Ziehm Solo"</f>
        <v>Ziehm Solo</v>
      </c>
      <c r="E14" s="5" t="str">
        <f>"SZPITALNY ODDZIAŁ RATUNKOWY"</f>
        <v>SZPITALNY ODDZIAŁ RATUNKOWY</v>
      </c>
      <c r="F14" s="5" t="str">
        <f>"014915"</f>
        <v>014915</v>
      </c>
      <c r="G14" s="6">
        <v>45700</v>
      </c>
      <c r="H14" s="7"/>
      <c r="I14" s="7"/>
      <c r="J14" s="7"/>
    </row>
    <row r="15" spans="1:10" ht="39" x14ac:dyDescent="0.25">
      <c r="A15" s="5" t="s">
        <v>18</v>
      </c>
      <c r="B15" s="5" t="str">
        <f>"Tomograf komputerowy 384 warstwy"</f>
        <v>Tomograf komputerowy 384 warstwy</v>
      </c>
      <c r="C15" s="5" t="str">
        <f>"76266"</f>
        <v>76266</v>
      </c>
      <c r="D15" s="5" t="str">
        <f>"Somatom Force"</f>
        <v>Somatom Force</v>
      </c>
      <c r="E15" s="5" t="s">
        <v>0</v>
      </c>
      <c r="F15" s="5" t="str">
        <f>"022476"</f>
        <v>022476</v>
      </c>
      <c r="G15" s="6">
        <v>45727</v>
      </c>
      <c r="H15" s="7"/>
      <c r="I15" s="7"/>
      <c r="J15" s="7"/>
    </row>
    <row r="16" spans="1:10" ht="26.25" x14ac:dyDescent="0.25">
      <c r="A16" s="5" t="s">
        <v>19</v>
      </c>
      <c r="B16" s="5" t="str">
        <f>"Angiokardiograf stacjonarny"</f>
        <v>Angiokardiograf stacjonarny</v>
      </c>
      <c r="C16" s="5" t="str">
        <f>"82344"</f>
        <v>82344</v>
      </c>
      <c r="D16" s="5" t="str">
        <f>"Artis One"</f>
        <v>Artis One</v>
      </c>
      <c r="E16" s="5" t="str">
        <f>"PRACOWNIA HEMODYNAMIKI"</f>
        <v>PRACOWNIA HEMODYNAMIKI</v>
      </c>
      <c r="F16" s="5" t="str">
        <f>"020455"</f>
        <v>020455</v>
      </c>
      <c r="G16" s="6">
        <v>45919</v>
      </c>
      <c r="H16" s="7"/>
      <c r="I16" s="7"/>
      <c r="J16" s="7"/>
    </row>
    <row r="17" spans="1:10" ht="51.75" x14ac:dyDescent="0.25">
      <c r="A17" s="5" t="s">
        <v>20</v>
      </c>
      <c r="B17" s="5" t="str">
        <f>"Tomograf komputerowy"</f>
        <v>Tomograf komputerowy</v>
      </c>
      <c r="C17" s="5" t="str">
        <f>"96332"</f>
        <v>96332</v>
      </c>
      <c r="D17" s="5" t="str">
        <f>"SOMATOM DEFINITION AS+ (128 warstw)"</f>
        <v>SOMATOM DEFINITION AS+ (128 warstw)</v>
      </c>
      <c r="E17" s="5" t="s">
        <v>0</v>
      </c>
      <c r="F17" s="5" t="str">
        <f>"016773"</f>
        <v>016773</v>
      </c>
      <c r="G17" s="6">
        <v>45974</v>
      </c>
      <c r="H17" s="7"/>
      <c r="I17" s="7"/>
      <c r="J17" s="7"/>
    </row>
    <row r="18" spans="1:10" ht="26.25" x14ac:dyDescent="0.25">
      <c r="A18" s="5" t="s">
        <v>21</v>
      </c>
      <c r="B18" s="5" t="str">
        <f>"Angiograf stacjonarny z wyposażeniem"</f>
        <v>Angiograf stacjonarny z wyposażeniem</v>
      </c>
      <c r="C18" s="5" t="str">
        <f>"109335"</f>
        <v>109335</v>
      </c>
      <c r="D18" s="5" t="str">
        <f>"Artis Q Ceiling"</f>
        <v>Artis Q Ceiling</v>
      </c>
      <c r="E18" s="5" t="str">
        <f>"BLOK OPERACYJNY CHIRURGII NACZYNIOWEJ"</f>
        <v>BLOK OPERACYJNY CHIRURGII NACZYNIOWEJ</v>
      </c>
      <c r="F18" s="5" t="str">
        <f>"017517"</f>
        <v>017517</v>
      </c>
      <c r="G18" s="6">
        <v>45926</v>
      </c>
      <c r="H18" s="7"/>
      <c r="I18" s="7"/>
      <c r="J18" s="7"/>
    </row>
    <row r="19" spans="1:10" ht="39" x14ac:dyDescent="0.25">
      <c r="A19" s="5" t="s">
        <v>22</v>
      </c>
      <c r="B19" s="5" t="str">
        <f>"Tomograf komputerowy w Kontenerze mobilnym"</f>
        <v>Tomograf komputerowy w Kontenerze mobilnym</v>
      </c>
      <c r="C19" s="5" t="str">
        <f>"119510"</f>
        <v>119510</v>
      </c>
      <c r="D19" s="5" t="str">
        <f>"Somatom go.Top 11061640"</f>
        <v>Somatom go.Top 11061640</v>
      </c>
      <c r="E19" s="5" t="s">
        <v>0</v>
      </c>
      <c r="F19" s="5"/>
      <c r="G19" s="6">
        <v>45771</v>
      </c>
      <c r="H19" s="7"/>
      <c r="I19" s="7"/>
      <c r="J19" s="7"/>
    </row>
    <row r="20" spans="1:10" ht="26.25" x14ac:dyDescent="0.25">
      <c r="A20" s="5" t="s">
        <v>23</v>
      </c>
      <c r="B20" s="5" t="str">
        <f>"Dwugłowicowa gamma kamera SPECT"</f>
        <v>Dwugłowicowa gamma kamera SPECT</v>
      </c>
      <c r="C20" s="5" t="str">
        <f>"11000035 "</f>
        <v xml:space="preserve">11000035 </v>
      </c>
      <c r="D20" s="5" t="str">
        <f>"Bright View X"</f>
        <v>Bright View X</v>
      </c>
      <c r="E20" s="5" t="str">
        <f>"ZAKŁAD MEDYCYNY NUKLEARNEJ "</f>
        <v xml:space="preserve">ZAKŁAD MEDYCYNY NUKLEARNEJ </v>
      </c>
      <c r="F20" s="5" t="str">
        <f>"013521"</f>
        <v>013521</v>
      </c>
      <c r="G20" s="6">
        <v>45683</v>
      </c>
      <c r="H20" s="7"/>
      <c r="I20" s="7"/>
      <c r="J20" s="7"/>
    </row>
    <row r="21" spans="1:10" ht="26.25" x14ac:dyDescent="0.25">
      <c r="A21" s="5" t="s">
        <v>24</v>
      </c>
      <c r="B21" s="5" t="str">
        <f>"Aparat RTG pantomograficzny"</f>
        <v>Aparat RTG pantomograficzny</v>
      </c>
      <c r="C21" s="5" t="str">
        <f>"44572 / 5936294"</f>
        <v>44572 / 5936294</v>
      </c>
      <c r="D21" s="5" t="str">
        <f>"Orthophos Plus"</f>
        <v>Orthophos Plus</v>
      </c>
      <c r="E21" s="5" t="str">
        <f>"POLIKLINIKA STOMATOLOGICZNA"</f>
        <v>POLIKLINIKA STOMATOLOGICZNA</v>
      </c>
      <c r="F21" s="5" t="str">
        <f>"009456"</f>
        <v>009456</v>
      </c>
      <c r="G21" s="6">
        <v>45672</v>
      </c>
      <c r="H21" s="7"/>
      <c r="I21" s="7"/>
      <c r="J21" s="7"/>
    </row>
    <row r="22" spans="1:10" ht="26.25" x14ac:dyDescent="0.25">
      <c r="A22" s="5" t="s">
        <v>25</v>
      </c>
      <c r="B22" s="5" t="str">
        <f>"Aparat RTG typu ramię O "</f>
        <v xml:space="preserve">Aparat RTG typu ramię O </v>
      </c>
      <c r="C22" s="5" t="str">
        <f>"C1448"</f>
        <v>C1448</v>
      </c>
      <c r="D22" s="5" t="str">
        <f>"O-arm"</f>
        <v>O-arm</v>
      </c>
      <c r="E22" s="5" t="str">
        <f>"BLOK OPERACYJNY NEUROCHIRURGII"</f>
        <v>BLOK OPERACYJNY NEUROCHIRURGII</v>
      </c>
      <c r="F22" s="5" t="str">
        <f>"017594"</f>
        <v>017594</v>
      </c>
      <c r="G22" s="6">
        <v>45683</v>
      </c>
      <c r="H22" s="7"/>
      <c r="I22" s="7"/>
      <c r="J22" s="7"/>
    </row>
    <row r="23" spans="1:10" ht="51.75" x14ac:dyDescent="0.25">
      <c r="A23" s="5" t="s">
        <v>26</v>
      </c>
      <c r="B23" s="5" t="s">
        <v>2</v>
      </c>
      <c r="C23" s="5" t="str">
        <f>"DF2402100155WK (PL0769RX51)"</f>
        <v>DF2402100155WK (PL0769RX51)</v>
      </c>
      <c r="D23" s="5" t="str">
        <f>"OPTIMA XR 240"</f>
        <v>OPTIMA XR 240</v>
      </c>
      <c r="E23" s="5" t="s">
        <v>0</v>
      </c>
      <c r="F23" s="5" t="str">
        <f>"025466"</f>
        <v>025466</v>
      </c>
      <c r="G23" s="6">
        <v>45661</v>
      </c>
      <c r="H23" s="7"/>
      <c r="I23" s="7"/>
      <c r="J23" s="7"/>
    </row>
    <row r="24" spans="1:10" ht="26.25" x14ac:dyDescent="0.25">
      <c r="A24" s="5" t="s">
        <v>27</v>
      </c>
      <c r="B24" s="5" t="str">
        <f>"Aparat RTG do angiografii cyfrowej"</f>
        <v>Aparat RTG do angiografii cyfrowej</v>
      </c>
      <c r="C24" s="5" t="str">
        <f>"G2C14Y2003"</f>
        <v>G2C14Y2003</v>
      </c>
      <c r="D24" s="5" t="str">
        <f>"INFX-8000C"</f>
        <v>INFX-8000C</v>
      </c>
      <c r="E24" s="5" t="str">
        <f>"BLOK OPERACYJNY KARDIOCHIRURGII"</f>
        <v>BLOK OPERACYJNY KARDIOCHIRURGII</v>
      </c>
      <c r="F24" s="5" t="str">
        <f>"015533"</f>
        <v>015533</v>
      </c>
      <c r="G24" s="6">
        <v>45700</v>
      </c>
      <c r="H24" s="7"/>
      <c r="I24" s="7"/>
      <c r="J24" s="7"/>
    </row>
    <row r="25" spans="1:10" ht="54" customHeight="1" x14ac:dyDescent="0.25">
      <c r="A25" s="5" t="s">
        <v>28</v>
      </c>
      <c r="B25" s="5" t="s">
        <v>5</v>
      </c>
      <c r="C25" s="5" t="str">
        <f>"MMT1000517004"</f>
        <v>MMT1000517004</v>
      </c>
      <c r="D25" s="5" t="str">
        <f>"Mammotome Mammotest MMT100"</f>
        <v>Mammotome Mammotest MMT100</v>
      </c>
      <c r="E25" s="5" t="str">
        <f>"Zakład Radiologii Zabiegowej"</f>
        <v>Zakład Radiologii Zabiegowej</v>
      </c>
      <c r="F25" s="5" t="str">
        <f>"021049"</f>
        <v>021049</v>
      </c>
      <c r="G25" s="6">
        <v>45720</v>
      </c>
      <c r="H25" s="7"/>
      <c r="I25" s="7"/>
      <c r="J25" s="7"/>
    </row>
    <row r="26" spans="1:10" ht="39" x14ac:dyDescent="0.25">
      <c r="A26" s="5" t="s">
        <v>29</v>
      </c>
      <c r="B26" s="5" t="str">
        <f>"Aparat RTG z ramieniem C"</f>
        <v>Aparat RTG z ramieniem C</v>
      </c>
      <c r="C26" s="5" t="str">
        <f>"T2XXXX00025/PL1207RX10"</f>
        <v>T2XXXX00025/PL1207RX10</v>
      </c>
      <c r="D26" s="5" t="str">
        <f>"OEC Elite"</f>
        <v>OEC Elite</v>
      </c>
      <c r="E26" s="5" t="str">
        <f>"Pracownia Endoskopii Zabiegowej"</f>
        <v>Pracownia Endoskopii Zabiegowej</v>
      </c>
      <c r="F26" s="5" t="str">
        <f>"020599"</f>
        <v>020599</v>
      </c>
      <c r="G26" s="6">
        <v>45703</v>
      </c>
      <c r="H26" s="7"/>
      <c r="I26" s="7"/>
      <c r="J26" s="7"/>
    </row>
    <row r="27" spans="1:10" ht="51.75" x14ac:dyDescent="0.25">
      <c r="A27" s="5" t="s">
        <v>30</v>
      </c>
      <c r="B27" s="5" t="str">
        <f>"Aparat RTG typu ramię C ortopedyczny"</f>
        <v>Aparat RTG typu ramię C ortopedyczny</v>
      </c>
      <c r="C27" s="5" t="str">
        <f>"ZEN-052410-10618"</f>
        <v>ZEN-052410-10618</v>
      </c>
      <c r="D27" s="5" t="str">
        <f>"ZEN 7000"</f>
        <v>ZEN 7000</v>
      </c>
      <c r="E27" s="5" t="s">
        <v>1</v>
      </c>
      <c r="F27" s="5" t="str">
        <f>"020435"</f>
        <v>020435</v>
      </c>
      <c r="G27" s="6">
        <v>45661</v>
      </c>
      <c r="H27" s="7"/>
      <c r="I27" s="7"/>
      <c r="J27" s="7"/>
    </row>
    <row r="28" spans="1:10" ht="26.25" x14ac:dyDescent="0.25">
      <c r="A28" s="5" t="s">
        <v>31</v>
      </c>
      <c r="B28" s="5" t="str">
        <f>"Aparat rtg z torem wizyjnym i ramieniem C "</f>
        <v xml:space="preserve">Aparat rtg z torem wizyjnym i ramieniem C </v>
      </c>
      <c r="C28" s="5" t="str">
        <f>"ZEN-082202-10617"</f>
        <v>ZEN-082202-10617</v>
      </c>
      <c r="D28" s="5" t="str">
        <f>"ZEN 7000"</f>
        <v>ZEN 7000</v>
      </c>
      <c r="E28" s="5" t="str">
        <f>"BLOK OPERACYJNY NEUROCHIRURGII"</f>
        <v>BLOK OPERACYJNY NEUROCHIRURGII</v>
      </c>
      <c r="F28" s="5" t="str">
        <f>"018829"</f>
        <v>018829</v>
      </c>
      <c r="G28" s="6">
        <v>45661</v>
      </c>
      <c r="H28" s="7"/>
      <c r="I28" s="7"/>
      <c r="J28" s="7"/>
    </row>
    <row r="29" spans="1:10" ht="51.75" x14ac:dyDescent="0.25">
      <c r="A29" s="5" t="s">
        <v>32</v>
      </c>
      <c r="B29" s="5" t="str">
        <f>"Aparat rtg z torem wizyjnym i ramieniem C "</f>
        <v xml:space="preserve">Aparat rtg z torem wizyjnym i ramieniem C </v>
      </c>
      <c r="C29" s="5" t="s">
        <v>35</v>
      </c>
      <c r="D29" s="5" t="s">
        <v>34</v>
      </c>
      <c r="E29" s="5" t="s">
        <v>1</v>
      </c>
      <c r="F29" s="8">
        <v>18837</v>
      </c>
      <c r="G29" s="9">
        <v>45961</v>
      </c>
      <c r="H29" s="7"/>
      <c r="I29" s="7"/>
      <c r="J29" s="7"/>
    </row>
    <row r="30" spans="1:10" ht="26.25" x14ac:dyDescent="0.25">
      <c r="A30" s="5" t="s">
        <v>33</v>
      </c>
      <c r="B30" s="10" t="s">
        <v>36</v>
      </c>
      <c r="C30" s="11" t="s">
        <v>40</v>
      </c>
      <c r="D30" s="11"/>
      <c r="E30" s="11"/>
      <c r="F30" s="11"/>
      <c r="G30" s="11"/>
      <c r="H30" s="7"/>
      <c r="I30" s="7"/>
      <c r="J30" s="7"/>
    </row>
    <row r="31" spans="1:10" x14ac:dyDescent="0.25">
      <c r="A31" s="12" t="s">
        <v>41</v>
      </c>
      <c r="B31" s="13"/>
      <c r="C31" s="13"/>
      <c r="D31" s="13"/>
      <c r="E31" s="13"/>
      <c r="F31" s="13"/>
      <c r="G31" s="14"/>
      <c r="H31" s="3"/>
      <c r="I31" s="3"/>
      <c r="J31" s="3"/>
    </row>
  </sheetData>
  <sortState ref="A2:K32">
    <sortCondition ref="C2:C32"/>
  </sortState>
  <mergeCells count="3">
    <mergeCell ref="C30:G30"/>
    <mergeCell ref="A31:G31"/>
    <mergeCell ref="A1:J1"/>
  </mergeCells>
  <pageMargins left="0.43307086614173229" right="0.23622047244094491" top="0.55118110236220474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export_serviceorderreviewlist(2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Janicka</dc:creator>
  <cp:lastModifiedBy>Edyta Janicka</cp:lastModifiedBy>
  <cp:lastPrinted>2024-10-29T12:07:16Z</cp:lastPrinted>
  <dcterms:created xsi:type="dcterms:W3CDTF">2024-10-29T07:57:47Z</dcterms:created>
  <dcterms:modified xsi:type="dcterms:W3CDTF">2024-10-30T11:07:58Z</dcterms:modified>
</cp:coreProperties>
</file>